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updateLinks="never" codeName="ThisWorkbook" defaultThemeVersion="123820"/>
  <mc:AlternateContent xmlns:mc="http://schemas.openxmlformats.org/markup-compatibility/2006">
    <mc:Choice Requires="x15">
      <x15ac:absPath xmlns:x15ac="http://schemas.microsoft.com/office/spreadsheetml/2010/11/ac" url="C:\Users\Sarah\Dropbox\Nassington PC\Accounts &amp; Audit\2021_22\Audit\"/>
    </mc:Choice>
  </mc:AlternateContent>
  <xr:revisionPtr revIDLastSave="0" documentId="8_{F024AF09-1213-427B-9D38-ED34D2DEF35C}" xr6:coauthVersionLast="47" xr6:coauthVersionMax="47" xr10:uidLastSave="{00000000-0000-0000-0000-000000000000}"/>
  <workbookProtection workbookAlgorithmName="SHA-512" workbookHashValue="BkZQiV7NMuZnIqYBYEdRYaNhmUgVkYJwVQx/ojVdxm4s7oWIMBWykeYSFfSb5HsjcxcNuHUabI+5TqnNZx7m2Q==" workbookSaltValue="Z5GkbNRq08J7D92fqgSXqA==" workbookSpinCount="100000" lockStructure="1"/>
  <bookViews>
    <workbookView xWindow="28680" yWindow="-120" windowWidth="29040" windowHeight="16440" tabRatio="760" xr2:uid="{00000000-000D-0000-FFFF-FFFF00000000}"/>
  </bookViews>
  <sheets>
    <sheet name="Summary" sheetId="38" r:id="rId1"/>
    <sheet name="Budget Analysis" sheetId="27" r:id="rId2"/>
    <sheet name="Receipts" sheetId="8" r:id="rId3"/>
    <sheet name="Payments" sheetId="10" r:id="rId4"/>
    <sheet name="Balances" sheetId="4" r:id="rId5"/>
    <sheet name="Audit Bank rec" sheetId="35" state="hidden" r:id="rId6"/>
    <sheet name="PockIt-Petty Cash " sheetId="47" state="hidden" r:id="rId7"/>
    <sheet name="Audit reconciliation" sheetId="34" state="hidden" r:id="rId8"/>
    <sheet name="Variances " sheetId="56" r:id="rId9"/>
    <sheet name="Asset Register" sheetId="28" r:id="rId10"/>
    <sheet name="VAT" sheetId="37"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cp" localSheetId="8">#REF!</definedName>
    <definedName name="_cp">#REF!</definedName>
    <definedName name="_xlnm._FilterDatabase" localSheetId="3" hidden="1">Payments!$B$2:$O$94</definedName>
    <definedName name="afsha" localSheetId="6">#REF!</definedName>
    <definedName name="afsha" localSheetId="8">#REF!</definedName>
    <definedName name="afsha">#REF!</definedName>
    <definedName name="budg_payts" localSheetId="6">#REF!</definedName>
    <definedName name="budg_payts" localSheetId="8">#REF!</definedName>
    <definedName name="budg_payts">#REF!</definedName>
    <definedName name="budget" localSheetId="6">[1]Payments!#REF!</definedName>
    <definedName name="budget" localSheetId="8">[1]Payments!#REF!</definedName>
    <definedName name="budget">Payments!#REF!</definedName>
    <definedName name="budget_analysis" localSheetId="6">[1]Payments!#REF!</definedName>
    <definedName name="budget_analysis" localSheetId="8">[1]Payments!#REF!</definedName>
    <definedName name="budget_analysis">Payments!#REF!</definedName>
    <definedName name="Budget_payts" localSheetId="6">#REF!</definedName>
    <definedName name="Budget_payts" localSheetId="8">#REF!</definedName>
    <definedName name="Budget_payts">#REF!</definedName>
    <definedName name="BudgetAnalysis" localSheetId="9">'[2] budget'!$C$34:$C$38,'[2] budget'!$C$13:$C$32</definedName>
    <definedName name="BudgetAnalysis" localSheetId="6">'[1] budget'!$C$38:$C$41,'[1] budget'!$C$14:$C$32</definedName>
    <definedName name="BudgetAnalysis" localSheetId="8">'[1] budget'!$C$38:$C$41,'[1] budget'!$C$14:$C$32</definedName>
    <definedName name="BudgetAnalysis">#REF!,#REF!</definedName>
    <definedName name="budgetcosts" localSheetId="6">[3]Payments!$O$4:$O$50</definedName>
    <definedName name="budgetcosts" localSheetId="8">[4]Payments!#REF!</definedName>
    <definedName name="budgetcosts">[4]Payments!#REF!</definedName>
    <definedName name="BudgetHeaders" localSheetId="6">[1]Payments!#REF!</definedName>
    <definedName name="BudgetHeaders" localSheetId="8">[1]Payments!#REF!</definedName>
    <definedName name="BudgetHeaders">Payments!#REF!</definedName>
    <definedName name="BudgetList">'[5]Budget control'!$B$4:$B$13</definedName>
    <definedName name="budgets" localSheetId="9">[2]Payments!$R$3:$R$27</definedName>
    <definedName name="budgets" localSheetId="6">[1]Payments!$R$3:$R$35</definedName>
    <definedName name="budgets" localSheetId="8">[1]Payments!$R$3:$R$35</definedName>
    <definedName name="budgets">Payments!#REF!</definedName>
    <definedName name="coss" localSheetId="6">#REF!</definedName>
    <definedName name="coss" localSheetId="8">#REF!</definedName>
    <definedName name="coss">#REF!</definedName>
    <definedName name="costcentre" localSheetId="6">#REF!</definedName>
    <definedName name="costcentre" localSheetId="8">#REF!</definedName>
    <definedName name="costcentre">#REF!</definedName>
    <definedName name="costpoints" localSheetId="9">#REF!</definedName>
    <definedName name="costpoints" localSheetId="6">#REF!</definedName>
    <definedName name="costpoints" localSheetId="8">[1]Payments!#REF!</definedName>
    <definedName name="costpoints">Payments!#REF!</definedName>
    <definedName name="costs" localSheetId="6">#REF!</definedName>
    <definedName name="costs" localSheetId="8">#REF!</definedName>
    <definedName name="costs">#REF!</definedName>
    <definedName name="cp" localSheetId="8">[1]Payments!#REF!</definedName>
    <definedName name="cp">[1]Payments!#REF!</definedName>
    <definedName name="cp_" localSheetId="8">[1]Payments!#REF!</definedName>
    <definedName name="cp_">[1]Payments!#REF!</definedName>
    <definedName name="CP__" localSheetId="8">#REF!</definedName>
    <definedName name="CP__">#REF!</definedName>
    <definedName name="CPP" localSheetId="8">[1]Payments!#REF!</definedName>
    <definedName name="CPP">[1]Payments!#REF!</definedName>
    <definedName name="Exp_list" localSheetId="6">#REF!</definedName>
    <definedName name="Exp_list" localSheetId="8">#REF!</definedName>
    <definedName name="Exp_list">#REF!</definedName>
    <definedName name="expenses" localSheetId="6">#REF!</definedName>
    <definedName name="expenses" localSheetId="8">#REF!</definedName>
    <definedName name="expenses">#REF!</definedName>
    <definedName name="exps" localSheetId="6">#REF!</definedName>
    <definedName name="exps">#REF!</definedName>
    <definedName name="Exps_list" localSheetId="6">#REF!</definedName>
    <definedName name="Exps_list" localSheetId="8">#REF!</definedName>
    <definedName name="Exps_list">#REF!</definedName>
    <definedName name="n">#REF!</definedName>
    <definedName name="percent">[6]VARIATIONS!$C$17</definedName>
    <definedName name="precept" localSheetId="8">#REF!</definedName>
    <definedName name="precept">#REF!</definedName>
    <definedName name="_xlnm.Print_Area" localSheetId="9">'Asset Register'!$B$2:$K$91</definedName>
    <definedName name="_xlnm.Print_Area" localSheetId="5">'Audit Bank rec'!$C$1:$F$19</definedName>
    <definedName name="_xlnm.Print_Area" localSheetId="7">'Audit reconciliation'!$A$2:$N$15</definedName>
    <definedName name="_xlnm.Print_Area" localSheetId="4">Balances!$A$2:$C$31</definedName>
    <definedName name="_xlnm.Print_Area" localSheetId="1">'Budget Analysis'!$C$3:$O$61</definedName>
    <definedName name="_xlnm.Print_Area" localSheetId="3">Payments!$B$2:$O$126</definedName>
    <definedName name="_xlnm.Print_Area" localSheetId="6">'PockIt-Petty Cash '!$B$3:$K$33</definedName>
    <definedName name="_xlnm.Print_Area" localSheetId="2">Receipts!$B$1:$M$62</definedName>
    <definedName name="_xlnm.Print_Area" localSheetId="0">Summary!$B$2:$M$18</definedName>
    <definedName name="_xlnm.Print_Area" localSheetId="8">'Variances '!$B$3:$L$45</definedName>
    <definedName name="_xlnm.Print_Area" localSheetId="10">VAT!$B$1:$F$76</definedName>
    <definedName name="Salary" localSheetId="8">[4]Payments!#REF!</definedName>
    <definedName name="Salary">[4]Payments!#REF!</definedName>
    <definedName name="ssdfe4w" localSheetId="6">#REF!</definedName>
    <definedName name="ssdfe4w" localSheetId="8">#REF!</definedName>
    <definedName name="ssdfe4w">#REF!</definedName>
    <definedName name="sss" localSheetId="6">#REF!</definedName>
    <definedName name="sss" localSheetId="8">#REF!</definedName>
    <definedName name="sss">#REF!</definedName>
    <definedName name="ssssssssss" localSheetId="6">#REF!</definedName>
    <definedName name="ssssssssss" localSheetId="8">#REF!</definedName>
    <definedName name="ssssssssss">#REF!</definedName>
    <definedName name="v" localSheetId="6">#REF!</definedName>
    <definedName name="v">#REF!</definedName>
    <definedName name="vv" localSheetId="6">#REF!</definedName>
    <definedName name="vv">#REF!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 i="28" l="1"/>
  <c r="I35" i="28"/>
  <c r="I34" i="28"/>
  <c r="I33" i="28"/>
  <c r="I31" i="28"/>
  <c r="K36" i="28"/>
  <c r="I67" i="28"/>
  <c r="I75" i="28"/>
  <c r="B92" i="10"/>
  <c r="B74" i="10"/>
  <c r="M91" i="10"/>
  <c r="C91" i="10" s="1"/>
  <c r="M69" i="10"/>
  <c r="E4" i="35"/>
  <c r="H44" i="28"/>
  <c r="C2" i="4"/>
  <c r="M107" i="10"/>
  <c r="C107" i="10" s="1"/>
  <c r="M108" i="10"/>
  <c r="C108" i="10" s="1"/>
  <c r="M109" i="10"/>
  <c r="C109" i="10" s="1"/>
  <c r="M110" i="10"/>
  <c r="C110" i="10" s="1"/>
  <c r="M111" i="10"/>
  <c r="C111" i="10" s="1"/>
  <c r="M112" i="10"/>
  <c r="C112" i="10" s="1"/>
  <c r="M113" i="10"/>
  <c r="C113" i="10" s="1"/>
  <c r="M114" i="10"/>
  <c r="C114" i="10" s="1"/>
  <c r="M115" i="10"/>
  <c r="C115" i="10" s="1"/>
  <c r="M116" i="10"/>
  <c r="C116" i="10" s="1"/>
  <c r="M117" i="10"/>
  <c r="C117" i="10" s="1"/>
  <c r="M118" i="10"/>
  <c r="N118" i="10" s="1"/>
  <c r="M119" i="10"/>
  <c r="C119" i="10" s="1"/>
  <c r="M120" i="10"/>
  <c r="C120" i="10" s="1"/>
  <c r="M121" i="10"/>
  <c r="M122" i="10"/>
  <c r="C122" i="10" s="1"/>
  <c r="M123" i="10"/>
  <c r="M124" i="10"/>
  <c r="C124" i="10" s="1"/>
  <c r="M125" i="10"/>
  <c r="C125" i="10" s="1"/>
  <c r="J11" i="56"/>
  <c r="C6" i="56"/>
  <c r="N69" i="10" l="1"/>
  <c r="C69" i="10" s="1"/>
  <c r="C118" i="10"/>
  <c r="J24" i="56" l="1"/>
  <c r="I24" i="56" s="1"/>
  <c r="A5" i="34"/>
  <c r="D11" i="34"/>
  <c r="D9" i="34"/>
  <c r="M105" i="10" l="1"/>
  <c r="M104" i="10"/>
  <c r="M103" i="10"/>
  <c r="C103" i="10" s="1"/>
  <c r="M106" i="10"/>
  <c r="M100" i="10"/>
  <c r="M94" i="10"/>
  <c r="M93" i="10"/>
  <c r="M83" i="10"/>
  <c r="M82" i="10"/>
  <c r="C104" i="10" l="1"/>
  <c r="C93" i="10"/>
  <c r="C82" i="10"/>
  <c r="J75" i="10"/>
  <c r="M75" i="10" s="1"/>
  <c r="M74" i="10"/>
  <c r="M73" i="10"/>
  <c r="M72" i="10"/>
  <c r="M68" i="10"/>
  <c r="M67" i="10"/>
  <c r="G5" i="4"/>
  <c r="C6" i="4"/>
  <c r="M51" i="10"/>
  <c r="C51" i="10" s="1"/>
  <c r="M52" i="10"/>
  <c r="C52" i="10" s="1"/>
  <c r="M66" i="10"/>
  <c r="C66" i="10" s="1"/>
  <c r="M64" i="10"/>
  <c r="M63" i="10"/>
  <c r="M12" i="8"/>
  <c r="M50" i="10"/>
  <c r="C50" i="10" s="1"/>
  <c r="J60" i="10"/>
  <c r="J54" i="10"/>
  <c r="M54" i="10" s="1"/>
  <c r="N54" i="10" s="1"/>
  <c r="M53" i="10"/>
  <c r="C53" i="10" s="1"/>
  <c r="M49" i="10"/>
  <c r="M48" i="10"/>
  <c r="C74" i="10" l="1"/>
  <c r="C67" i="10"/>
  <c r="C72" i="10"/>
  <c r="C63" i="10"/>
  <c r="C48" i="10"/>
  <c r="C54" i="10"/>
  <c r="M20" i="10"/>
  <c r="M4" i="10"/>
  <c r="M5" i="10"/>
  <c r="M6" i="10"/>
  <c r="M7" i="10"/>
  <c r="M8" i="10"/>
  <c r="M9" i="10"/>
  <c r="M10" i="10"/>
  <c r="M11" i="10"/>
  <c r="M12" i="10"/>
  <c r="M14" i="10"/>
  <c r="M15" i="10"/>
  <c r="M16" i="10"/>
  <c r="M17" i="10"/>
  <c r="M19" i="10"/>
  <c r="M21" i="10"/>
  <c r="M22" i="10"/>
  <c r="M23" i="10"/>
  <c r="M24" i="10"/>
  <c r="M25" i="10"/>
  <c r="M27" i="10"/>
  <c r="M28" i="10"/>
  <c r="M29" i="10"/>
  <c r="M30" i="10"/>
  <c r="M31" i="10"/>
  <c r="M32" i="10"/>
  <c r="M33" i="10"/>
  <c r="M34" i="10"/>
  <c r="M35" i="10"/>
  <c r="G31" i="27" s="1"/>
  <c r="M36" i="10"/>
  <c r="M37" i="10"/>
  <c r="M38" i="10"/>
  <c r="M39" i="10"/>
  <c r="M40" i="10"/>
  <c r="M41" i="10"/>
  <c r="M43" i="10"/>
  <c r="M44" i="10"/>
  <c r="M45" i="10"/>
  <c r="C45" i="10" s="1"/>
  <c r="M46" i="10"/>
  <c r="C46" i="10" s="1"/>
  <c r="M47" i="10"/>
  <c r="C47" i="10" s="1"/>
  <c r="G51" i="27"/>
  <c r="G50" i="27"/>
  <c r="G49" i="27"/>
  <c r="G48" i="27"/>
  <c r="G46" i="27"/>
  <c r="G43" i="27"/>
  <c r="G41" i="27"/>
  <c r="G39" i="27"/>
  <c r="G38" i="27"/>
  <c r="G37" i="27"/>
  <c r="G36" i="27"/>
  <c r="G21" i="27"/>
  <c r="E61" i="27"/>
  <c r="J51" i="27"/>
  <c r="J50" i="27"/>
  <c r="J48" i="27"/>
  <c r="J47" i="27"/>
  <c r="J46" i="27"/>
  <c r="J45" i="27"/>
  <c r="J44" i="27"/>
  <c r="J43" i="27"/>
  <c r="J42" i="27"/>
  <c r="J41" i="27"/>
  <c r="J40" i="27"/>
  <c r="J38" i="27"/>
  <c r="J37" i="27"/>
  <c r="J36" i="27"/>
  <c r="J35" i="27"/>
  <c r="J34" i="27"/>
  <c r="J33" i="27"/>
  <c r="J32" i="27"/>
  <c r="J31" i="27"/>
  <c r="J30" i="27"/>
  <c r="J29" i="27"/>
  <c r="J28" i="27"/>
  <c r="J27" i="27"/>
  <c r="J26" i="27"/>
  <c r="J25" i="27"/>
  <c r="J24" i="27"/>
  <c r="J21" i="27"/>
  <c r="J23" i="27"/>
  <c r="G26" i="27" l="1"/>
  <c r="C43" i="10"/>
  <c r="I51" i="27"/>
  <c r="G20" i="27"/>
  <c r="G59" i="27" l="1"/>
  <c r="G58" i="27"/>
  <c r="G57" i="27"/>
  <c r="G56" i="27"/>
  <c r="G55" i="27"/>
  <c r="G54" i="27"/>
  <c r="G53" i="27"/>
  <c r="C27" i="10"/>
  <c r="C4" i="10"/>
  <c r="M3" i="10"/>
  <c r="B5" i="10"/>
  <c r="B4" i="10"/>
  <c r="F6" i="47"/>
  <c r="F7" i="47" s="1"/>
  <c r="F8" i="47" s="1"/>
  <c r="F9" i="47" s="1"/>
  <c r="F10" i="47" s="1"/>
  <c r="F11" i="47" s="1"/>
  <c r="F12" i="47" s="1"/>
  <c r="F13" i="47" s="1"/>
  <c r="F14" i="47" s="1"/>
  <c r="F15" i="47" s="1"/>
  <c r="F16" i="47" s="1"/>
  <c r="F17" i="47" s="1"/>
  <c r="F18" i="47" s="1"/>
  <c r="F19" i="47" s="1"/>
  <c r="F20" i="47" s="1"/>
  <c r="F21" i="47" s="1"/>
  <c r="F22" i="47" s="1"/>
  <c r="F23" i="47" s="1"/>
  <c r="F24" i="47" s="1"/>
  <c r="F25" i="47" s="1"/>
  <c r="F26" i="47" s="1"/>
  <c r="F27" i="47" s="1"/>
  <c r="F28" i="47" s="1"/>
  <c r="F29" i="47" s="1"/>
  <c r="F30" i="47" s="1"/>
  <c r="F31" i="47" s="1"/>
  <c r="F32" i="47" s="1"/>
  <c r="F33" i="47" s="1"/>
  <c r="F5" i="47"/>
  <c r="C3" i="10" l="1"/>
  <c r="I54" i="27"/>
  <c r="G61" i="27"/>
  <c r="I55" i="27"/>
  <c r="K59" i="27"/>
  <c r="H59" i="27"/>
  <c r="I59" i="27"/>
  <c r="K58" i="27"/>
  <c r="I58" i="27"/>
  <c r="H58" i="27"/>
  <c r="I56" i="27"/>
  <c r="I57" i="27"/>
  <c r="C12" i="4"/>
  <c r="B12" i="4"/>
  <c r="J26" i="10"/>
  <c r="C42" i="10"/>
  <c r="C39" i="10"/>
  <c r="L50" i="27"/>
  <c r="J18" i="10"/>
  <c r="M18" i="10" s="1"/>
  <c r="I13" i="10"/>
  <c r="M13" i="10" s="1"/>
  <c r="G32" i="27" s="1"/>
  <c r="M127" i="10"/>
  <c r="M126" i="10"/>
  <c r="G42" i="27"/>
  <c r="G33" i="27"/>
  <c r="G40" i="27"/>
  <c r="M102" i="10"/>
  <c r="M101" i="10"/>
  <c r="M99" i="10"/>
  <c r="C99" i="10" s="1"/>
  <c r="M98" i="10"/>
  <c r="M97" i="10"/>
  <c r="M96" i="10"/>
  <c r="N96" i="10" s="1"/>
  <c r="M95" i="10"/>
  <c r="M92" i="10"/>
  <c r="M90" i="10"/>
  <c r="M89" i="10"/>
  <c r="N89" i="10" s="1"/>
  <c r="M88" i="10"/>
  <c r="M87" i="10"/>
  <c r="C87" i="10" s="1"/>
  <c r="M86" i="10"/>
  <c r="M85" i="10"/>
  <c r="M84" i="10"/>
  <c r="G35" i="27" s="1"/>
  <c r="M81" i="10"/>
  <c r="C81" i="10" s="1"/>
  <c r="M80" i="10"/>
  <c r="M79" i="10"/>
  <c r="G45" i="27" s="1"/>
  <c r="M78" i="10"/>
  <c r="G30" i="27" s="1"/>
  <c r="M77" i="10"/>
  <c r="N77" i="10" s="1"/>
  <c r="M76" i="10"/>
  <c r="G25" i="27" s="1"/>
  <c r="M71" i="10"/>
  <c r="M70" i="10"/>
  <c r="M65" i="10"/>
  <c r="M62" i="10"/>
  <c r="M61" i="10"/>
  <c r="M60" i="10"/>
  <c r="M59" i="10"/>
  <c r="M58" i="10"/>
  <c r="G24" i="27" s="1"/>
  <c r="K24" i="27" s="1"/>
  <c r="L24" i="27" s="1"/>
  <c r="M57" i="10"/>
  <c r="M56" i="10"/>
  <c r="M55" i="10"/>
  <c r="N55" i="10" s="1"/>
  <c r="N37" i="10"/>
  <c r="C35" i="10"/>
  <c r="N25" i="10"/>
  <c r="C8" i="10"/>
  <c r="B6" i="10"/>
  <c r="C5" i="10"/>
  <c r="C52" i="27"/>
  <c r="C60" i="27" s="1"/>
  <c r="C13" i="27"/>
  <c r="K14" i="27"/>
  <c r="J6" i="27"/>
  <c r="F57" i="27"/>
  <c r="H57" i="27" s="1"/>
  <c r="F56" i="27"/>
  <c r="H56" i="27" s="1"/>
  <c r="F55" i="27"/>
  <c r="H55" i="27" s="1"/>
  <c r="F54" i="27"/>
  <c r="H54" i="27" s="1"/>
  <c r="F51" i="27"/>
  <c r="H51" i="27" s="1"/>
  <c r="F50" i="27"/>
  <c r="F48" i="27"/>
  <c r="F47" i="27"/>
  <c r="F46" i="27"/>
  <c r="F45" i="27"/>
  <c r="F44" i="27"/>
  <c r="F43" i="27"/>
  <c r="F42" i="27"/>
  <c r="E49" i="27"/>
  <c r="F12" i="27"/>
  <c r="K12" i="27" s="1"/>
  <c r="F24" i="27"/>
  <c r="O24" i="27"/>
  <c r="E5" i="27"/>
  <c r="E13" i="27" s="1"/>
  <c r="N71" i="10" l="1"/>
  <c r="H28" i="28"/>
  <c r="N86" i="10"/>
  <c r="H27" i="28"/>
  <c r="F49" i="27"/>
  <c r="F52" i="27" s="1"/>
  <c r="J49" i="27"/>
  <c r="G44" i="27"/>
  <c r="G28" i="27"/>
  <c r="G23" i="27"/>
  <c r="G19" i="27"/>
  <c r="N57" i="10"/>
  <c r="C57" i="10" s="1"/>
  <c r="N61" i="10"/>
  <c r="G47" i="27"/>
  <c r="G29" i="27"/>
  <c r="N56" i="10"/>
  <c r="G34" i="27"/>
  <c r="M26" i="10"/>
  <c r="G27" i="27" s="1"/>
  <c r="H43" i="27"/>
  <c r="I43" i="27"/>
  <c r="K48" i="27"/>
  <c r="L48" i="27" s="1"/>
  <c r="I48" i="27"/>
  <c r="H48" i="27"/>
  <c r="H45" i="27"/>
  <c r="I45" i="27"/>
  <c r="K49" i="27"/>
  <c r="L49" i="27" s="1"/>
  <c r="H49" i="27"/>
  <c r="I49" i="27"/>
  <c r="K46" i="27"/>
  <c r="L46" i="27" s="1"/>
  <c r="I46" i="27"/>
  <c r="H46" i="27"/>
  <c r="K51" i="27"/>
  <c r="L51" i="27" s="1"/>
  <c r="I50" i="27"/>
  <c r="H50" i="27"/>
  <c r="C32" i="10"/>
  <c r="N34" i="10"/>
  <c r="C34" i="10" s="1"/>
  <c r="C30" i="10"/>
  <c r="C23" i="10"/>
  <c r="C13" i="10"/>
  <c r="C10" i="10"/>
  <c r="C16" i="10"/>
  <c r="E52" i="27"/>
  <c r="I44" i="27" l="1"/>
  <c r="L36" i="56"/>
  <c r="H92" i="28"/>
  <c r="D43" i="56" s="1"/>
  <c r="E43" i="56" s="1"/>
  <c r="E60" i="27"/>
  <c r="F60" i="27" s="1"/>
  <c r="E69" i="27"/>
  <c r="I47" i="27"/>
  <c r="J37" i="56"/>
  <c r="H44" i="27"/>
  <c r="H47" i="27"/>
  <c r="K47" i="27"/>
  <c r="L47" i="27" s="1"/>
  <c r="C26" i="10"/>
  <c r="K41" i="56"/>
  <c r="L8" i="56"/>
  <c r="J8" i="56" s="1"/>
  <c r="F43" i="56" l="1"/>
  <c r="H36" i="28"/>
  <c r="H26" i="28"/>
  <c r="H25" i="28"/>
  <c r="H24" i="28"/>
  <c r="H22" i="28"/>
  <c r="H21" i="28"/>
  <c r="H20" i="28"/>
  <c r="H75" i="28"/>
  <c r="H74" i="28"/>
  <c r="H73" i="28"/>
  <c r="H72" i="28"/>
  <c r="H71" i="28"/>
  <c r="H70" i="28"/>
  <c r="H69" i="28"/>
  <c r="H68" i="28"/>
  <c r="I128" i="10" l="1"/>
  <c r="C127" i="10"/>
  <c r="C126" i="10"/>
  <c r="C102" i="10"/>
  <c r="C101" i="10"/>
  <c r="C96" i="10"/>
  <c r="C95" i="10"/>
  <c r="C92" i="10"/>
  <c r="C90" i="10"/>
  <c r="C98" i="10"/>
  <c r="C97" i="10"/>
  <c r="C89" i="10"/>
  <c r="C88" i="10" l="1"/>
  <c r="N60" i="27" l="1"/>
  <c r="O39" i="27"/>
  <c r="N46" i="27"/>
  <c r="N27" i="27" s="1"/>
  <c r="N20" i="27" l="1"/>
  <c r="N13" i="27" l="1"/>
  <c r="N59" i="27" s="1"/>
  <c r="N61" i="27" s="1"/>
  <c r="C86" i="10" l="1"/>
  <c r="C85" i="10"/>
  <c r="L128" i="10"/>
  <c r="K128" i="10"/>
  <c r="M5" i="8"/>
  <c r="L59" i="8"/>
  <c r="L10" i="56" s="1"/>
  <c r="J10" i="56" s="1"/>
  <c r="K59" i="8"/>
  <c r="L12" i="56" s="1"/>
  <c r="J12" i="56" s="1"/>
  <c r="I12" i="56" s="1"/>
  <c r="J59" i="8"/>
  <c r="L9" i="56" s="1"/>
  <c r="J9" i="56" s="1"/>
  <c r="I9" i="56" s="1"/>
  <c r="I59" i="8"/>
  <c r="H59" i="8"/>
  <c r="C79" i="10" l="1"/>
  <c r="C80" i="10"/>
  <c r="C71" i="10"/>
  <c r="C70" i="10"/>
  <c r="J128" i="10" l="1"/>
  <c r="M128" i="10" s="1"/>
  <c r="C77" i="10"/>
  <c r="C76" i="10"/>
  <c r="C78" i="10"/>
  <c r="H15" i="27"/>
  <c r="H14" i="27"/>
  <c r="H8" i="27"/>
  <c r="J20" i="27"/>
  <c r="J52" i="27" s="1"/>
  <c r="C20" i="10" l="1"/>
  <c r="C58" i="10" l="1"/>
  <c r="C56" i="10"/>
  <c r="C55" i="10"/>
  <c r="C36" i="10" l="1"/>
  <c r="M58" i="8" l="1"/>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1" i="8"/>
  <c r="M10" i="8"/>
  <c r="M9" i="8"/>
  <c r="M8" i="8"/>
  <c r="M7" i="8"/>
  <c r="M6" i="8"/>
  <c r="M4" i="8"/>
  <c r="M59" i="8" l="1"/>
  <c r="Q4" i="34" s="1"/>
  <c r="C22" i="10"/>
  <c r="C25" i="10" l="1"/>
  <c r="C12" i="10"/>
  <c r="C6" i="10"/>
  <c r="C84" i="10"/>
  <c r="C59" i="10"/>
  <c r="C38" i="10"/>
  <c r="C37" i="10"/>
  <c r="C61" i="10" l="1"/>
  <c r="C41" i="10"/>
  <c r="C9" i="10"/>
  <c r="C65" i="10"/>
  <c r="C28" i="10"/>
  <c r="C21" i="10"/>
  <c r="C60" i="10"/>
  <c r="C62" i="10"/>
  <c r="C29" i="10"/>
  <c r="C19" i="10"/>
  <c r="G8" i="4" l="1"/>
  <c r="C128" i="10"/>
  <c r="Q6" i="34" s="1"/>
  <c r="G6" i="4"/>
  <c r="G7" i="4" s="1"/>
  <c r="N128" i="10"/>
  <c r="F41" i="27"/>
  <c r="F40" i="27"/>
  <c r="F39" i="27"/>
  <c r="F38" i="27"/>
  <c r="F37" i="27"/>
  <c r="F36" i="27"/>
  <c r="F35" i="27"/>
  <c r="F34" i="27"/>
  <c r="F33" i="27"/>
  <c r="F32" i="27"/>
  <c r="F31" i="27"/>
  <c r="F30" i="27"/>
  <c r="F29" i="27"/>
  <c r="F28" i="27"/>
  <c r="F27" i="27"/>
  <c r="F25" i="27"/>
  <c r="F23" i="27"/>
  <c r="F21" i="27"/>
  <c r="F20" i="27"/>
  <c r="F19" i="27"/>
  <c r="G9" i="4" l="1"/>
  <c r="J40" i="56"/>
  <c r="I40" i="56" s="1"/>
  <c r="H19" i="28" l="1"/>
  <c r="J60" i="8" l="1"/>
  <c r="N34" i="27" l="1"/>
  <c r="N50" i="27" l="1"/>
  <c r="N51" i="27" s="1"/>
  <c r="C7" i="4"/>
  <c r="E8" i="35" l="1"/>
  <c r="F15" i="27" l="1"/>
  <c r="F11" i="27"/>
  <c r="K11" i="27" s="1"/>
  <c r="F10" i="27"/>
  <c r="K10" i="27" s="1"/>
  <c r="F9" i="27"/>
  <c r="K9" i="27" s="1"/>
  <c r="F8" i="27"/>
  <c r="K8" i="27" s="1"/>
  <c r="F7" i="27"/>
  <c r="K7" i="27" s="1"/>
  <c r="F6" i="27"/>
  <c r="K6" i="27" s="1"/>
  <c r="F5" i="27"/>
  <c r="K5" i="27" s="1"/>
  <c r="J5" i="27" l="1"/>
  <c r="F13" i="27"/>
  <c r="K13" i="27" s="1"/>
  <c r="E3" i="34" l="1"/>
  <c r="F34" i="47" l="1"/>
  <c r="F8" i="4" s="1"/>
  <c r="O21" i="27"/>
  <c r="O20" i="27"/>
  <c r="O19" i="27"/>
  <c r="G10" i="4" l="1"/>
  <c r="F10" i="4"/>
  <c r="M22" i="27"/>
  <c r="J16" i="27"/>
  <c r="I15" i="27" l="1"/>
  <c r="H67" i="28" l="1"/>
  <c r="H59" i="28"/>
  <c r="H58" i="28"/>
  <c r="H56" i="28"/>
  <c r="H51" i="28"/>
  <c r="H50" i="28"/>
  <c r="H49" i="28"/>
  <c r="H48" i="28"/>
  <c r="H47" i="28"/>
  <c r="H41" i="28"/>
  <c r="H31" i="28"/>
  <c r="H30" i="28"/>
  <c r="H12" i="28"/>
  <c r="H8" i="28"/>
  <c r="H5" i="28"/>
  <c r="H4" i="28"/>
  <c r="C11" i="4" l="1"/>
  <c r="C13" i="4"/>
  <c r="C14" i="4"/>
  <c r="E5" i="35" s="1"/>
  <c r="E59" i="8"/>
  <c r="L5" i="56" s="1"/>
  <c r="F59" i="8"/>
  <c r="G59" i="8"/>
  <c r="L7" i="56" s="1"/>
  <c r="J7" i="56" s="1"/>
  <c r="I7" i="56" s="1"/>
  <c r="G10" i="27"/>
  <c r="G13" i="27"/>
  <c r="H13" i="27" s="1"/>
  <c r="O42" i="27"/>
  <c r="F61" i="27"/>
  <c r="A5" i="4"/>
  <c r="J4" i="27"/>
  <c r="G3" i="34"/>
  <c r="I3" i="34" s="1"/>
  <c r="G11" i="27"/>
  <c r="E3" i="35"/>
  <c r="E2" i="35"/>
  <c r="F3" i="34"/>
  <c r="H3" i="34" s="1"/>
  <c r="F50" i="37"/>
  <c r="F12" i="34"/>
  <c r="F11" i="34"/>
  <c r="F10" i="34"/>
  <c r="K7" i="34"/>
  <c r="G7" i="34"/>
  <c r="I7" i="34" s="1"/>
  <c r="F7" i="34"/>
  <c r="H7" i="34" s="1"/>
  <c r="F6" i="34"/>
  <c r="H6" i="34" s="1"/>
  <c r="F5" i="34"/>
  <c r="H5" i="34" s="1"/>
  <c r="F4" i="34"/>
  <c r="H4" i="34" s="1"/>
  <c r="F8" i="34"/>
  <c r="H8" i="34" s="1"/>
  <c r="A8" i="34"/>
  <c r="F9" i="34"/>
  <c r="G38" i="28"/>
  <c r="H38" i="28" s="1"/>
  <c r="G37" i="28"/>
  <c r="H37" i="28" s="1"/>
  <c r="O28" i="27"/>
  <c r="O38" i="27"/>
  <c r="O37" i="27"/>
  <c r="O29" i="27"/>
  <c r="F12" i="4"/>
  <c r="B6" i="4"/>
  <c r="B13" i="4"/>
  <c r="O6" i="27"/>
  <c r="O7" i="27"/>
  <c r="O9" i="27"/>
  <c r="O23" i="27"/>
  <c r="O25" i="27"/>
  <c r="O27" i="27"/>
  <c r="O30" i="27"/>
  <c r="O31" i="27"/>
  <c r="O32" i="27"/>
  <c r="O33" i="27"/>
  <c r="O34" i="27"/>
  <c r="O35" i="27"/>
  <c r="G6" i="27" l="1"/>
  <c r="L6" i="56"/>
  <c r="L13" i="56" s="1"/>
  <c r="H9" i="34"/>
  <c r="H10" i="34" s="1"/>
  <c r="H10" i="27"/>
  <c r="H11" i="27"/>
  <c r="G5" i="27"/>
  <c r="H5" i="27" s="1"/>
  <c r="E4" i="34"/>
  <c r="D5" i="56" s="1"/>
  <c r="G7" i="27"/>
  <c r="M60" i="8"/>
  <c r="N61" i="8" s="1"/>
  <c r="O36" i="27"/>
  <c r="G92" i="28"/>
  <c r="G93" i="28" s="1"/>
  <c r="I11" i="27"/>
  <c r="H6" i="27"/>
  <c r="G9" i="27"/>
  <c r="L5" i="27"/>
  <c r="L7" i="27"/>
  <c r="E12" i="34"/>
  <c r="K12" i="34" s="1"/>
  <c r="E6" i="35"/>
  <c r="E14" i="35" s="1"/>
  <c r="J6" i="56" l="1"/>
  <c r="I6" i="56" s="1"/>
  <c r="E5" i="56"/>
  <c r="F5" i="56"/>
  <c r="G4" i="34"/>
  <c r="I4" i="34" s="1"/>
  <c r="H9" i="27"/>
  <c r="I5" i="27"/>
  <c r="K5" i="56"/>
  <c r="J5" i="56" s="1"/>
  <c r="I5" i="56" s="1"/>
  <c r="I7" i="27"/>
  <c r="H7" i="27"/>
  <c r="M62" i="8"/>
  <c r="G16" i="27"/>
  <c r="O51" i="27"/>
  <c r="J62" i="27"/>
  <c r="L12" i="34"/>
  <c r="M12" i="34" s="1"/>
  <c r="G12" i="34"/>
  <c r="I9" i="27"/>
  <c r="L4" i="34"/>
  <c r="M4" i="34" s="1"/>
  <c r="K4" i="34"/>
  <c r="O5" i="27"/>
  <c r="L6" i="27"/>
  <c r="C16" i="27"/>
  <c r="F14" i="35"/>
  <c r="M61" i="8"/>
  <c r="E5" i="34" s="1"/>
  <c r="D6" i="56" s="1"/>
  <c r="C19" i="4"/>
  <c r="K13" i="56" l="1"/>
  <c r="J13" i="56" s="1"/>
  <c r="I13" i="56" s="1"/>
  <c r="E6" i="56"/>
  <c r="L5" i="34"/>
  <c r="M5" i="34" s="1"/>
  <c r="P4" i="34"/>
  <c r="K5" i="34"/>
  <c r="G5" i="34"/>
  <c r="I5" i="34" s="1"/>
  <c r="J64" i="27"/>
  <c r="F6" i="56" l="1"/>
  <c r="B8" i="10"/>
  <c r="M129" i="10"/>
  <c r="M130" i="10" s="1"/>
  <c r="O15" i="27" l="1"/>
  <c r="B9" i="10"/>
  <c r="B10" i="10" l="1"/>
  <c r="B12" i="10" s="1"/>
  <c r="B13" i="10" s="1"/>
  <c r="B16" i="10" s="1"/>
  <c r="B19" i="10" s="1"/>
  <c r="B20" i="10" s="1"/>
  <c r="C15" i="4"/>
  <c r="F13" i="4"/>
  <c r="F15" i="4" s="1"/>
  <c r="B21" i="10" l="1"/>
  <c r="B22" i="10" s="1"/>
  <c r="B23" i="10" s="1"/>
  <c r="B25" i="10" s="1"/>
  <c r="B26" i="10" s="1"/>
  <c r="E25" i="4"/>
  <c r="J63" i="27"/>
  <c r="B28" i="10" l="1"/>
  <c r="B29" i="10" s="1"/>
  <c r="B30" i="10" s="1"/>
  <c r="B32" i="10" s="1"/>
  <c r="B34" i="10" s="1"/>
  <c r="B35" i="10" s="1"/>
  <c r="B27" i="10"/>
  <c r="B36" i="10" l="1"/>
  <c r="B37" i="10" s="1"/>
  <c r="B38" i="10" s="1"/>
  <c r="B39" i="10" s="1"/>
  <c r="B41" i="10" s="1"/>
  <c r="B42" i="10" s="1"/>
  <c r="B43" i="10" s="1"/>
  <c r="B45" i="10" s="1"/>
  <c r="B46" i="10" l="1"/>
  <c r="B47" i="10" s="1"/>
  <c r="B50" i="10" s="1"/>
  <c r="B48" i="10" l="1"/>
  <c r="B51" i="10" l="1"/>
  <c r="B52" i="10" s="1"/>
  <c r="B53" i="10" s="1"/>
  <c r="B54" i="10" s="1"/>
  <c r="B55" i="10" s="1"/>
  <c r="B56" i="10" s="1"/>
  <c r="B57" i="10" s="1"/>
  <c r="B58" i="10" s="1"/>
  <c r="B59" i="10" s="1"/>
  <c r="B60" i="10" s="1"/>
  <c r="B61" i="10" s="1"/>
  <c r="B62" i="10" s="1"/>
  <c r="B63" i="10" l="1"/>
  <c r="B65" i="10" s="1"/>
  <c r="B66" i="10" l="1"/>
  <c r="B67" i="10" l="1"/>
  <c r="B70" i="10" s="1"/>
  <c r="B71" i="10" s="1"/>
  <c r="B69" i="10"/>
  <c r="N16" i="27"/>
  <c r="N63" i="27"/>
  <c r="N66" i="27" l="1"/>
  <c r="K27" i="27" l="1"/>
  <c r="L27" i="27" s="1"/>
  <c r="K20" i="27"/>
  <c r="L20" i="27" s="1"/>
  <c r="K21" i="27"/>
  <c r="L21" i="27" s="1"/>
  <c r="K40" i="27"/>
  <c r="L40" i="27" s="1"/>
  <c r="K19" i="27"/>
  <c r="L19" i="27" s="1"/>
  <c r="K38" i="27" l="1"/>
  <c r="L38" i="27" s="1"/>
  <c r="J28" i="56"/>
  <c r="I28" i="56" s="1"/>
  <c r="K34" i="27"/>
  <c r="L34" i="27" s="1"/>
  <c r="K36" i="27"/>
  <c r="L36" i="27" s="1"/>
  <c r="J34" i="56"/>
  <c r="I34" i="56" s="1"/>
  <c r="K43" i="27"/>
  <c r="L43" i="27" s="1"/>
  <c r="K45" i="27"/>
  <c r="L45" i="27" s="1"/>
  <c r="H39" i="27"/>
  <c r="K39" i="27"/>
  <c r="L39" i="27" s="1"/>
  <c r="I26" i="27"/>
  <c r="K26" i="27"/>
  <c r="L26" i="27" s="1"/>
  <c r="J22" i="56"/>
  <c r="I22" i="56" s="1"/>
  <c r="K29" i="27"/>
  <c r="L29" i="27" s="1"/>
  <c r="J29" i="56"/>
  <c r="K33" i="27"/>
  <c r="L33" i="27" s="1"/>
  <c r="J19" i="56"/>
  <c r="I19" i="56" s="1"/>
  <c r="K25" i="27"/>
  <c r="L25" i="27" s="1"/>
  <c r="J25" i="56"/>
  <c r="I25" i="56" s="1"/>
  <c r="K30" i="27"/>
  <c r="L30" i="27" s="1"/>
  <c r="J21" i="56"/>
  <c r="I21" i="56" s="1"/>
  <c r="K28" i="27"/>
  <c r="L28" i="27" s="1"/>
  <c r="J30" i="56"/>
  <c r="I30" i="56" s="1"/>
  <c r="K35" i="27"/>
  <c r="L35" i="27" s="1"/>
  <c r="J36" i="56"/>
  <c r="K44" i="27"/>
  <c r="L44" i="27" s="1"/>
  <c r="J18" i="56"/>
  <c r="I18" i="56" s="1"/>
  <c r="K23" i="27"/>
  <c r="L23" i="27" s="1"/>
  <c r="J27" i="56"/>
  <c r="I27" i="56" s="1"/>
  <c r="K32" i="27"/>
  <c r="L32" i="27" s="1"/>
  <c r="H42" i="27"/>
  <c r="K42" i="27"/>
  <c r="L42" i="27" s="1"/>
  <c r="K31" i="27"/>
  <c r="L31" i="27" s="1"/>
  <c r="K37" i="27"/>
  <c r="L37" i="27" s="1"/>
  <c r="J23" i="56"/>
  <c r="I23" i="56" s="1"/>
  <c r="K41" i="27"/>
  <c r="L41" i="27" s="1"/>
  <c r="H29" i="27"/>
  <c r="I35" i="27"/>
  <c r="I32" i="27"/>
  <c r="J35" i="56"/>
  <c r="H38" i="27"/>
  <c r="I29" i="27"/>
  <c r="H41" i="27"/>
  <c r="H32" i="27"/>
  <c r="I42" i="27"/>
  <c r="J38" i="56"/>
  <c r="J39" i="56"/>
  <c r="H30" i="27"/>
  <c r="I38" i="27"/>
  <c r="H26" i="27"/>
  <c r="J32" i="56"/>
  <c r="I31" i="27"/>
  <c r="J26" i="56"/>
  <c r="I26" i="56" s="1"/>
  <c r="H33" i="27"/>
  <c r="I27" i="27"/>
  <c r="J20" i="56"/>
  <c r="I20" i="56" s="1"/>
  <c r="I25" i="27"/>
  <c r="H40" i="27"/>
  <c r="I33" i="27"/>
  <c r="G22" i="27"/>
  <c r="I41" i="27"/>
  <c r="I34" i="27"/>
  <c r="H34" i="27"/>
  <c r="I23" i="27"/>
  <c r="H23" i="27"/>
  <c r="H21" i="27"/>
  <c r="I21" i="27"/>
  <c r="I37" i="27"/>
  <c r="H37" i="27"/>
  <c r="H28" i="27"/>
  <c r="I28" i="27"/>
  <c r="H20" i="27"/>
  <c r="I20" i="27"/>
  <c r="H19" i="27"/>
  <c r="I39" i="27"/>
  <c r="H31" i="27"/>
  <c r="G62" i="27"/>
  <c r="G63" i="27" s="1"/>
  <c r="G64" i="27" s="1"/>
  <c r="H25" i="27"/>
  <c r="H36" i="27"/>
  <c r="H27" i="27"/>
  <c r="I19" i="27"/>
  <c r="H35" i="27"/>
  <c r="I36" i="27"/>
  <c r="I30" i="27"/>
  <c r="J31" i="56" l="1"/>
  <c r="I31" i="56" s="1"/>
  <c r="L14" i="56"/>
  <c r="J14" i="56" s="1"/>
  <c r="I14" i="56" s="1"/>
  <c r="G52" i="27"/>
  <c r="E8" i="34"/>
  <c r="K22" i="27"/>
  <c r="E6" i="34"/>
  <c r="D14" i="56" s="1"/>
  <c r="I52" i="27"/>
  <c r="L41" i="56"/>
  <c r="E14" i="56" l="1"/>
  <c r="F14" i="56"/>
  <c r="L6" i="34"/>
  <c r="M6" i="34" s="1"/>
  <c r="E9" i="34"/>
  <c r="K52" i="27"/>
  <c r="G60" i="27"/>
  <c r="P6" i="34"/>
  <c r="I71" i="27"/>
  <c r="K65" i="27"/>
  <c r="J65" i="27"/>
  <c r="J66" i="27" s="1"/>
  <c r="G6" i="34"/>
  <c r="I6" i="34" s="1"/>
  <c r="K6" i="34"/>
  <c r="N129" i="10" l="1"/>
  <c r="N130" i="10" s="1"/>
  <c r="G8" i="34"/>
  <c r="K9" i="34"/>
  <c r="J8" i="34"/>
  <c r="H60" i="27"/>
  <c r="I60" i="27"/>
  <c r="K8" i="34"/>
  <c r="L8" i="34"/>
  <c r="E62" i="27"/>
  <c r="I8" i="34" l="1"/>
  <c r="N8" i="34" s="1"/>
  <c r="D18" i="56"/>
  <c r="M8" i="34"/>
  <c r="O8" i="34"/>
  <c r="J9" i="34"/>
  <c r="G9" i="34"/>
  <c r="D41" i="56" s="1"/>
  <c r="L9" i="34"/>
  <c r="M9" i="34" s="1"/>
  <c r="I9" i="34" l="1"/>
  <c r="I10" i="34" s="1"/>
  <c r="E18" i="56"/>
  <c r="F18" i="56"/>
  <c r="D44" i="56"/>
  <c r="F41" i="56"/>
  <c r="E41" i="56"/>
  <c r="E16" i="27"/>
  <c r="O16" i="27" s="1"/>
  <c r="F16" i="27"/>
  <c r="K16" i="27" s="1"/>
  <c r="L16" i="27" s="1"/>
  <c r="C20" i="4" l="1"/>
  <c r="C22" i="4" s="1"/>
  <c r="E11" i="34" l="1"/>
  <c r="D42" i="56"/>
  <c r="J69" i="27"/>
  <c r="K69" i="27" s="1"/>
  <c r="C24" i="4"/>
  <c r="E42" i="56" l="1"/>
  <c r="F42" i="56"/>
  <c r="E17" i="35"/>
  <c r="E14" i="34"/>
  <c r="G11" i="34"/>
  <c r="G14" i="34" s="1"/>
  <c r="F17" i="35" l="1"/>
  <c r="E19" i="35"/>
  <c r="B76" i="10" l="1"/>
  <c r="B77" i="10" s="1"/>
  <c r="B78" i="10" s="1"/>
  <c r="B79" i="10" s="1"/>
  <c r="B80" i="10" s="1"/>
  <c r="B81" i="10" s="1"/>
  <c r="B82" i="10" s="1"/>
  <c r="B84" i="10" s="1"/>
  <c r="B85" i="10" s="1"/>
  <c r="B86" i="10" s="1"/>
  <c r="B87" i="10" s="1"/>
  <c r="B88" i="10" s="1"/>
  <c r="B89" i="10" s="1"/>
  <c r="B90" i="10" s="1"/>
  <c r="B72" i="10"/>
  <c r="B93" i="10" l="1"/>
  <c r="B95" i="10" s="1"/>
  <c r="B96" i="10" s="1"/>
  <c r="B97" i="10" s="1"/>
  <c r="B98" i="10" s="1"/>
  <c r="B99" i="10" s="1"/>
  <c r="B101" i="10" s="1"/>
  <c r="B102" i="10" s="1"/>
  <c r="B103" i="10" s="1"/>
  <c r="B106" i="10" s="1"/>
  <c r="B107" i="10" s="1"/>
  <c r="B108" i="10" s="1"/>
  <c r="B109" i="10" s="1"/>
  <c r="B110" i="10" s="1"/>
  <c r="B111" i="10" s="1"/>
  <c r="B112" i="10" s="1"/>
  <c r="B113" i="10" s="1"/>
  <c r="B114" i="10" s="1"/>
  <c r="B115" i="10" s="1"/>
  <c r="B116" i="10" s="1"/>
  <c r="B117" i="10" s="1"/>
  <c r="B118" i="10" s="1"/>
  <c r="B119" i="10" s="1"/>
  <c r="B120" i="10" s="1"/>
  <c r="B122" i="10" s="1"/>
  <c r="B124" i="10" s="1"/>
  <c r="B125" i="10" s="1"/>
  <c r="B91" i="10"/>
  <c r="B10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author>
    <author>tc={9C532890-06F5-4BAA-9644-F5D28632DDDA}</author>
  </authors>
  <commentList>
    <comment ref="J13" authorId="0" shapeId="0" xr:uid="{00000000-0006-0000-0100-000001000000}">
      <text>
        <r>
          <rPr>
            <sz val="9"/>
            <color indexed="81"/>
            <rFont val="Tahoma"/>
            <family val="2"/>
          </rPr>
          <t xml:space="preserve">
This allows for a grant of £8k for the foundation stage play area
</t>
        </r>
      </text>
    </comment>
    <comment ref="N19" authorId="0" shapeId="0" xr:uid="{2553F57F-60AD-4351-90EB-66A119E2929F}">
      <text>
        <r>
          <rPr>
            <sz val="9"/>
            <color indexed="81"/>
            <rFont val="Tahoma"/>
            <family val="2"/>
          </rPr>
          <t xml:space="preserve">This figure includes NI
</t>
        </r>
      </text>
    </comment>
    <comment ref="O19" authorId="0" shapeId="0" xr:uid="{AE6FAD5E-9C95-4169-AD2E-DE2726B62241}">
      <text>
        <r>
          <rPr>
            <b/>
            <sz val="9"/>
            <color indexed="81"/>
            <rFont val="Tahoma"/>
            <family val="2"/>
          </rPr>
          <t xml:space="preserve">Based on 5% as advised for budgetary purposes by NALC
</t>
        </r>
        <r>
          <rPr>
            <sz val="9"/>
            <color indexed="81"/>
            <rFont val="Tahoma"/>
            <family val="2"/>
          </rPr>
          <t xml:space="preserve">
</t>
        </r>
      </text>
    </comment>
    <comment ref="N42" authorId="1" shapeId="0" xr:uid="{9C532890-06F5-4BAA-9644-F5D28632DDDA}">
      <text>
        <t>[Threaded comment]
Your version of Excel allows you to read this threaded comment; however, any edits to it will get removed if the file is opened in a newer version of Excel. Learn more: https://go.microsoft.com/fwlink/?linkid=870924
Comment:
    Grass footpath</t>
      </text>
    </comment>
  </commentList>
</comments>
</file>

<file path=xl/sharedStrings.xml><?xml version="1.0" encoding="utf-8"?>
<sst xmlns="http://schemas.openxmlformats.org/spreadsheetml/2006/main" count="1295" uniqueCount="636">
  <si>
    <t>Street Lighting</t>
  </si>
  <si>
    <t>Insurance</t>
  </si>
  <si>
    <t>Audit</t>
  </si>
  <si>
    <t>Date</t>
  </si>
  <si>
    <t>Details</t>
  </si>
  <si>
    <t>VAT</t>
  </si>
  <si>
    <t>TOTAL</t>
  </si>
  <si>
    <t>TOTALS</t>
  </si>
  <si>
    <t>Precept</t>
  </si>
  <si>
    <t>Interest</t>
  </si>
  <si>
    <t>Grant</t>
  </si>
  <si>
    <t>Account</t>
  </si>
  <si>
    <t>Balance</t>
  </si>
  <si>
    <t>Vat</t>
  </si>
  <si>
    <t>Misc</t>
  </si>
  <si>
    <t>Total</t>
  </si>
  <si>
    <t>Closing Date</t>
  </si>
  <si>
    <t>ledger balance current account</t>
  </si>
  <si>
    <t>Per cash book</t>
  </si>
  <si>
    <t>Balance b/f</t>
  </si>
  <si>
    <t>Add receipts for year</t>
  </si>
  <si>
    <t>less payments for the year</t>
  </si>
  <si>
    <t>Office expenses</t>
  </si>
  <si>
    <t>Burial Board</t>
  </si>
  <si>
    <t>NALC. Acre,Competitions</t>
  </si>
  <si>
    <t>Village Hall Hire</t>
  </si>
  <si>
    <t>Allotment Expenditure</t>
  </si>
  <si>
    <t>Allotment Rents</t>
  </si>
  <si>
    <t>Pavilion Lease</t>
  </si>
  <si>
    <t xml:space="preserve">  </t>
  </si>
  <si>
    <t>Interest/ Charges</t>
  </si>
  <si>
    <t xml:space="preserve">TOTALS  </t>
  </si>
  <si>
    <t xml:space="preserve">Total cash:   </t>
  </si>
  <si>
    <t xml:space="preserve">Balance c/f:   </t>
  </si>
  <si>
    <r>
      <t>Misc</t>
    </r>
    <r>
      <rPr>
        <sz val="9"/>
        <rFont val="Arial"/>
        <family val="2"/>
      </rPr>
      <t/>
    </r>
  </si>
  <si>
    <t>Payee</t>
  </si>
  <si>
    <t>Plus uncleared receipts</t>
  </si>
  <si>
    <t>Total cash</t>
  </si>
  <si>
    <t>Less uncleared payts &amp; cheques</t>
  </si>
  <si>
    <t>Available funds:</t>
  </si>
  <si>
    <t xml:space="preserve">Section   137 </t>
  </si>
  <si>
    <t>RECEIPTS</t>
  </si>
  <si>
    <t xml:space="preserve">Difference </t>
  </si>
  <si>
    <t>Cleared?</t>
  </si>
  <si>
    <t>Anticipated Y/E Outcome</t>
  </si>
  <si>
    <t xml:space="preserve">Salary </t>
  </si>
  <si>
    <t>Clerks expenses</t>
  </si>
  <si>
    <t>Sub total</t>
  </si>
  <si>
    <t>Actual Vs Budget</t>
  </si>
  <si>
    <t>-  Analysis of actual income &amp; expenditure against budgets</t>
  </si>
  <si>
    <t>Receipts</t>
  </si>
  <si>
    <t>Payments</t>
  </si>
  <si>
    <t>Balances</t>
  </si>
  <si>
    <t xml:space="preserve">-  A bank &amp; budget reconciliation </t>
  </si>
  <si>
    <t xml:space="preserve">On any page, click on </t>
  </si>
  <si>
    <t>Bank balances at</t>
  </si>
  <si>
    <t>Bank balances at:</t>
  </si>
  <si>
    <t>Training budget</t>
  </si>
  <si>
    <t>-  A list of all the Parish Council's assets</t>
  </si>
  <si>
    <t>to come back to this page</t>
  </si>
  <si>
    <t>Preschool</t>
  </si>
  <si>
    <t>YEAR TO DATE</t>
  </si>
  <si>
    <t>churchyard</t>
  </si>
  <si>
    <t>Red=decrease</t>
  </si>
  <si>
    <t>Preschool Lease</t>
  </si>
  <si>
    <t>Tailored reserve</t>
  </si>
  <si>
    <t>PAYMENTS</t>
  </si>
  <si>
    <t>Difference +/-  T/Y vs L/Y</t>
  </si>
  <si>
    <t>Admin Costs</t>
  </si>
  <si>
    <t>Reserves</t>
  </si>
  <si>
    <t>NETT</t>
  </si>
  <si>
    <t>General Reserve</t>
  </si>
  <si>
    <t>% of budget spent / rec'd</t>
  </si>
  <si>
    <t xml:space="preserve">Playing Field </t>
  </si>
  <si>
    <t>Working cash</t>
  </si>
  <si>
    <t>Fwd Contingency (to reserves)</t>
  </si>
  <si>
    <t>Contingency / c'man's allowance</t>
  </si>
  <si>
    <t>Difference % T/Y vs L/Y</t>
  </si>
  <si>
    <t>NHW</t>
  </si>
  <si>
    <t xml:space="preserve"> </t>
  </si>
  <si>
    <t>Wkg income</t>
  </si>
  <si>
    <t>Hangout area</t>
  </si>
  <si>
    <t xml:space="preserve">Ref No.   </t>
  </si>
  <si>
    <t>Description</t>
  </si>
  <si>
    <t>Identification</t>
  </si>
  <si>
    <t>Date acquired</t>
  </si>
  <si>
    <t>Location</t>
  </si>
  <si>
    <t xml:space="preserve">Insurance Value </t>
  </si>
  <si>
    <t>Disposal / Discharge</t>
  </si>
  <si>
    <t>Explanation for variance</t>
  </si>
  <si>
    <t>none</t>
  </si>
  <si>
    <t xml:space="preserve">Allotments </t>
  </si>
  <si>
    <t>Grid ref TL057968</t>
  </si>
  <si>
    <t>St Mary's Way, Nassington</t>
  </si>
  <si>
    <t>Playing field</t>
  </si>
  <si>
    <t>Grid ref TL066959</t>
  </si>
  <si>
    <t>Fotheringhay Rd, Nassington</t>
  </si>
  <si>
    <t>Pocket park</t>
  </si>
  <si>
    <t>Grid ref TL060963</t>
  </si>
  <si>
    <t>Autumn 1981</t>
  </si>
  <si>
    <t>Apetorpe R, Nassington</t>
  </si>
  <si>
    <t>Insurance ref ITEM 1</t>
  </si>
  <si>
    <t>BUILDINGS</t>
  </si>
  <si>
    <t>On playing field grid ref TL066959</t>
  </si>
  <si>
    <t>The previous valuation was based on the actual cost of the building plus the insurer's index linked increase of 5% pa - the new valuation is based on a builder's estimate of how much the building would cost to insure)</t>
  </si>
  <si>
    <t>Sports Pavilion 1969/1993 (renovated)</t>
  </si>
  <si>
    <t>1969 / 1993</t>
  </si>
  <si>
    <t>STREET FURNITURE</t>
  </si>
  <si>
    <t>The index linked increase was not felt to be sufficient to cover the replacement cost of the bus shelter</t>
  </si>
  <si>
    <t xml:space="preserve">a.  </t>
  </si>
  <si>
    <t>Bus Shelter</t>
  </si>
  <si>
    <t>N/A</t>
  </si>
  <si>
    <t>Apethorpe Rd/Norhtfields Lane, PE8 6QG</t>
  </si>
  <si>
    <t xml:space="preserve">b.  </t>
  </si>
  <si>
    <t xml:space="preserve">7 Garden Seats </t>
  </si>
  <si>
    <t>Pocket Park</t>
  </si>
  <si>
    <t>1990</t>
  </si>
  <si>
    <t>Pocket Park, Apethorpe Rd</t>
  </si>
  <si>
    <t>The previous valuation was grossly underestimated at £625.80 for 7 seats.  The new valuation of £700 each is based on current prevailing market prices researched from suppliers via the internet</t>
  </si>
  <si>
    <t>Alf Parrish memorial seat</t>
  </si>
  <si>
    <t>?</t>
  </si>
  <si>
    <t>Village Green, Church St</t>
  </si>
  <si>
    <t>Coronation Seat</t>
  </si>
  <si>
    <t>1953</t>
  </si>
  <si>
    <t>Church Street, near church</t>
  </si>
  <si>
    <t>Playing field (removed in 2007)</t>
  </si>
  <si>
    <t>St Mary's Way</t>
  </si>
  <si>
    <t>Churchyard Green</t>
  </si>
  <si>
    <t>John Rogers memorial bench</t>
  </si>
  <si>
    <t>Parkway Green</t>
  </si>
  <si>
    <t>Peter Pickering memorial bench</t>
  </si>
  <si>
    <t>2000</t>
  </si>
  <si>
    <t>Coal Yard Green</t>
  </si>
  <si>
    <t>2007</t>
  </si>
  <si>
    <t>Village Sign</t>
  </si>
  <si>
    <t>Village Green</t>
  </si>
  <si>
    <t>On village green opposite Nassington House</t>
  </si>
  <si>
    <t>Undervalued on previous asset register</t>
  </si>
  <si>
    <t>Notice Boards</t>
  </si>
  <si>
    <t xml:space="preserve">c.  </t>
  </si>
  <si>
    <t>35 column lamps</t>
  </si>
  <si>
    <t>Various at £340 each</t>
  </si>
  <si>
    <t>Previously under valued.  New values as per list prices from ABB, the suppliers and inventory carried out</t>
  </si>
  <si>
    <t>16 bracket lamps</t>
  </si>
  <si>
    <t>Various at £450 each</t>
  </si>
  <si>
    <t>d</t>
  </si>
  <si>
    <t>Litter Bins</t>
  </si>
  <si>
    <t>GATES &amp; FENCES</t>
  </si>
  <si>
    <t>Hoop Fencing for Playing Field Car Park</t>
  </si>
  <si>
    <t>Playing field car park</t>
  </si>
  <si>
    <t>Omitted from previous asset register due to clerical error</t>
  </si>
  <si>
    <t>PLAYGROUND EQUIPMENT</t>
  </si>
  <si>
    <t>Wooden climbing frame</t>
  </si>
  <si>
    <t>Demolished May 2007</t>
  </si>
  <si>
    <t>Replaced in May 2007</t>
  </si>
  <si>
    <t>Set of swings</t>
  </si>
  <si>
    <t>late 60s</t>
  </si>
  <si>
    <t>Rocking Horse</t>
  </si>
  <si>
    <t>1971</t>
  </si>
  <si>
    <t>Goal Posts</t>
  </si>
  <si>
    <t>2008</t>
  </si>
  <si>
    <t xml:space="preserve">Slide </t>
  </si>
  <si>
    <t>Maid Marion Unit</t>
  </si>
  <si>
    <t>2002</t>
  </si>
  <si>
    <t>Spring Elephant See Saw</t>
  </si>
  <si>
    <t xml:space="preserve">Spring Elephant </t>
  </si>
  <si>
    <t>Park Bench</t>
  </si>
  <si>
    <t>Included in benches above</t>
  </si>
  <si>
    <t>Burma Bridge</t>
  </si>
  <si>
    <t>Zip Slide</t>
  </si>
  <si>
    <t>Impact Attenuating Surface</t>
  </si>
  <si>
    <t>OFFICE CONTENTS</t>
  </si>
  <si>
    <t>Computer, printer, photocopier-iep</t>
  </si>
  <si>
    <t>Obsolete eqipment</t>
  </si>
  <si>
    <t>Computer screen</t>
  </si>
  <si>
    <t>computer switcher</t>
  </si>
  <si>
    <t>office chair</t>
  </si>
  <si>
    <t>Bookcase for Millennium Book, in Church</t>
  </si>
  <si>
    <t xml:space="preserve">Stand for Bookcase in Church </t>
  </si>
  <si>
    <t>MOWERS &amp; SIMILAR EQUIPMENT</t>
  </si>
  <si>
    <t>Year Ending</t>
  </si>
  <si>
    <t>Balances    brought forward</t>
  </si>
  <si>
    <t>(+) Annual Precept</t>
  </si>
  <si>
    <t>(+) Total other receipts</t>
  </si>
  <si>
    <t>(-) Staff Costs</t>
  </si>
  <si>
    <t>(-) Loan interest/capital repayments</t>
  </si>
  <si>
    <t>(-) Total other payments</t>
  </si>
  <si>
    <t>(=) Balances carried forward</t>
  </si>
  <si>
    <t>Total cash and investments</t>
  </si>
  <si>
    <t>Total fixed assets and long term assets</t>
  </si>
  <si>
    <t>Total borrowings</t>
  </si>
  <si>
    <t>Bank Account(s):</t>
  </si>
  <si>
    <t>Current (Tailored account)</t>
  </si>
  <si>
    <t>(list all bank accounts)</t>
  </si>
  <si>
    <t>Tailored deposit</t>
  </si>
  <si>
    <t>None</t>
  </si>
  <si>
    <t>Add Petty Cash:</t>
  </si>
  <si>
    <t>Add Investments:</t>
  </si>
  <si>
    <t>(note: a market value for investments should be obtained)</t>
  </si>
  <si>
    <t>Box No</t>
  </si>
  <si>
    <t>Last year</t>
  </si>
  <si>
    <t>This year</t>
  </si>
  <si>
    <t>Difference</t>
  </si>
  <si>
    <t xml:space="preserve">Explanation </t>
  </si>
  <si>
    <t>Analysis</t>
  </si>
  <si>
    <t>%</t>
  </si>
  <si>
    <t>£</t>
  </si>
  <si>
    <t>% (+/-)</t>
  </si>
  <si>
    <t>(If larger than £100 and 10%)</t>
  </si>
  <si>
    <t>2   precept</t>
  </si>
  <si>
    <t>3          other recs</t>
  </si>
  <si>
    <t>4          staff costs</t>
  </si>
  <si>
    <t>6         other payts</t>
  </si>
  <si>
    <t>7 bal c/fwd</t>
  </si>
  <si>
    <t>8 cash &amp; investments</t>
  </si>
  <si>
    <t>Date of invoice</t>
  </si>
  <si>
    <t>Supplier's VAT    registration number</t>
  </si>
  <si>
    <t>Brief description of supply</t>
  </si>
  <si>
    <t>To whom addressed</t>
  </si>
  <si>
    <t>VAT Paid</t>
  </si>
  <si>
    <t>Less unpresented payments</t>
  </si>
  <si>
    <t>Add uncleared receipts</t>
  </si>
  <si>
    <t>9 Total fixed assets and long term assets</t>
  </si>
  <si>
    <r>
      <t>am claiming a refund o</t>
    </r>
    <r>
      <rPr>
        <sz val="11"/>
        <rFont val="Arial"/>
        <family val="2"/>
      </rPr>
      <t>f: EIGHT HUNDRED AND FORTY FIVE POUNDS AND 36pence</t>
    </r>
  </si>
  <si>
    <t>Misc.</t>
  </si>
  <si>
    <t>Bank reconciliation for audit</t>
  </si>
  <si>
    <t>Audit reconciliation</t>
  </si>
  <si>
    <t>Difference     £</t>
  </si>
  <si>
    <t>Difference %</t>
  </si>
  <si>
    <t>Current balance</t>
  </si>
  <si>
    <t>+ income yet to receive</t>
  </si>
  <si>
    <t>less exp still to pay</t>
  </si>
  <si>
    <t xml:space="preserve">Anticipated y/e balance: </t>
  </si>
  <si>
    <t>Elections</t>
  </si>
  <si>
    <t>Hang out area seat</t>
  </si>
  <si>
    <t>Less Uncleared payments:</t>
  </si>
  <si>
    <t>5 (-) Loan interest/capital repayments</t>
  </si>
  <si>
    <t xml:space="preserve">-  Cash book showing what we've spent </t>
  </si>
  <si>
    <t>-  Cash book showing what money we've received</t>
  </si>
  <si>
    <t>= TOTAL reserves</t>
  </si>
  <si>
    <t>Highways / amenities</t>
  </si>
  <si>
    <t>Preschool rent</t>
  </si>
  <si>
    <t>Date paid / minuted</t>
  </si>
  <si>
    <t>a</t>
  </si>
  <si>
    <t>Salary</t>
  </si>
  <si>
    <t>Details                                                           (click on hyperlinks to view invoices)</t>
  </si>
  <si>
    <t>Training</t>
  </si>
  <si>
    <t xml:space="preserve">Footpaths / Environment </t>
  </si>
  <si>
    <t>Total reserves</t>
  </si>
  <si>
    <t>Anticipated Y/E</t>
  </si>
  <si>
    <t>DEFICIT</t>
  </si>
  <si>
    <t>S Rodger</t>
  </si>
  <si>
    <t>NCC highways</t>
  </si>
  <si>
    <t>m</t>
  </si>
  <si>
    <t>j</t>
  </si>
  <si>
    <t>s</t>
  </si>
  <si>
    <t>n</t>
  </si>
  <si>
    <t>f</t>
  </si>
  <si>
    <t>b</t>
  </si>
  <si>
    <t>c</t>
  </si>
  <si>
    <t>g</t>
  </si>
  <si>
    <t>h</t>
  </si>
  <si>
    <t>i</t>
  </si>
  <si>
    <t>k</t>
  </si>
  <si>
    <t>p</t>
  </si>
  <si>
    <t>q</t>
  </si>
  <si>
    <t>r</t>
  </si>
  <si>
    <t>t</t>
  </si>
  <si>
    <t>u</t>
  </si>
  <si>
    <t>v</t>
  </si>
  <si>
    <t>x</t>
  </si>
  <si>
    <t>y</t>
  </si>
  <si>
    <t>z</t>
  </si>
  <si>
    <t>aa</t>
  </si>
  <si>
    <t>bb</t>
  </si>
  <si>
    <t>2016/17</t>
  </si>
  <si>
    <t>CURRENT value since 2014/15 asset register</t>
  </si>
  <si>
    <t>Farmy Multi-User Seesaw</t>
  </si>
  <si>
    <t>HAGS HS8045081</t>
  </si>
  <si>
    <t xml:space="preserve">Merry Roundabout  </t>
  </si>
  <si>
    <t xml:space="preserve">HAGS  HAG8002462 </t>
  </si>
  <si>
    <t xml:space="preserve">UniPlay Iktaz (wood)  </t>
  </si>
  <si>
    <t>HAGS8049073</t>
  </si>
  <si>
    <t xml:space="preserve">WET-RUBBARK   </t>
  </si>
  <si>
    <t>Bonded rubber mulch surfacing</t>
  </si>
  <si>
    <t>Mats Zipwire</t>
  </si>
  <si>
    <t>HAG8036747</t>
  </si>
  <si>
    <t>Grass mattingsurfacing</t>
  </si>
  <si>
    <t>RP400S</t>
  </si>
  <si>
    <t>broken</t>
  </si>
  <si>
    <t>Highways</t>
  </si>
  <si>
    <t>Grants</t>
  </si>
  <si>
    <t>Under/Over spent / received</t>
  </si>
  <si>
    <t xml:space="preserve">Receipts / Payments </t>
  </si>
  <si>
    <t>dd</t>
  </si>
  <si>
    <t>Nest</t>
  </si>
  <si>
    <t>Northants CALC</t>
  </si>
  <si>
    <t>Eon</t>
  </si>
  <si>
    <t>Defib pads</t>
  </si>
  <si>
    <t>HMRC</t>
  </si>
  <si>
    <t>Current account</t>
  </si>
  <si>
    <t>£ Difference</t>
  </si>
  <si>
    <t>Audit S 5</t>
  </si>
  <si>
    <t>VH Grant</t>
  </si>
  <si>
    <t>Recreation reserve</t>
  </si>
  <si>
    <t>S/O</t>
  </si>
  <si>
    <t>√</t>
  </si>
  <si>
    <t xml:space="preserve">PAYE </t>
  </si>
  <si>
    <t>Cost Point / budget expenditure analysis</t>
  </si>
  <si>
    <t>SSE</t>
  </si>
  <si>
    <t>Northants Calc</t>
  </si>
  <si>
    <t>Pockit</t>
  </si>
  <si>
    <t>Postage</t>
  </si>
  <si>
    <t>Royal Mail</t>
  </si>
  <si>
    <t>Paragon Internet</t>
  </si>
  <si>
    <t>RoSPA inspection</t>
  </si>
  <si>
    <t>Nassington Village Hall</t>
  </si>
  <si>
    <t>Transaction Date</t>
  </si>
  <si>
    <t>Credit</t>
  </si>
  <si>
    <t>Debit</t>
  </si>
  <si>
    <t>Pockit prepayment card (petty cash)</t>
  </si>
  <si>
    <t>Pockit card</t>
  </si>
  <si>
    <t xml:space="preserve">Less Uncleared receipts </t>
  </si>
  <si>
    <t>Pension Provision/NIC</t>
  </si>
  <si>
    <t>Tree inspection/works</t>
  </si>
  <si>
    <t>428-339</t>
  </si>
  <si>
    <t>Community Heartbeat Trust</t>
  </si>
  <si>
    <t>EYFS Equipment</t>
  </si>
  <si>
    <t>Komplan</t>
  </si>
  <si>
    <t>2019</t>
  </si>
  <si>
    <t>Churchyard Path</t>
  </si>
  <si>
    <t>Lane to playing fied</t>
  </si>
  <si>
    <t>Check</t>
  </si>
  <si>
    <t>Memorial bench in churchyard</t>
  </si>
  <si>
    <t xml:space="preserve">Churchyard </t>
  </si>
  <si>
    <t>Pre-paid debit card</t>
  </si>
  <si>
    <t>Salix grant</t>
  </si>
  <si>
    <t>Capital Projects</t>
  </si>
  <si>
    <t>Streetlighting</t>
  </si>
  <si>
    <t>History Group</t>
  </si>
  <si>
    <t>Cohesion reserve</t>
  </si>
  <si>
    <t>Election reserve</t>
  </si>
  <si>
    <t>check</t>
  </si>
  <si>
    <t>SLCC</t>
  </si>
  <si>
    <t xml:space="preserve">Playing Field/Sports Assoc </t>
  </si>
  <si>
    <t>Allotments</t>
  </si>
  <si>
    <t>Grant to History Group</t>
  </si>
  <si>
    <t>31 March 2021     £</t>
  </si>
  <si>
    <t>Proposal for 2021/22</t>
  </si>
  <si>
    <t>% increase over 2020/21 budget</t>
  </si>
  <si>
    <t>Sarah Rodger</t>
  </si>
  <si>
    <t>Pension</t>
  </si>
  <si>
    <t>Bk Chg</t>
  </si>
  <si>
    <t>Bank charges</t>
  </si>
  <si>
    <t>Plough environmental</t>
  </si>
  <si>
    <t>ICO</t>
  </si>
  <si>
    <t>dep</t>
  </si>
  <si>
    <t>curr</t>
  </si>
  <si>
    <t>Community &amp; Running Costs</t>
  </si>
  <si>
    <t>Paul Tate</t>
  </si>
  <si>
    <t>PKF Littlejohn</t>
  </si>
  <si>
    <t>NDP grant</t>
  </si>
  <si>
    <t>Street Lighting loan repayt</t>
  </si>
  <si>
    <t>Meeting facilitation</t>
  </si>
  <si>
    <t>NDP project</t>
  </si>
  <si>
    <t>NALC &amp; SLCC</t>
  </si>
  <si>
    <t>Website</t>
  </si>
  <si>
    <t>To capital project</t>
  </si>
  <si>
    <t>Professional fees</t>
  </si>
  <si>
    <t>Budget for 2021/22</t>
  </si>
  <si>
    <t>HAGS</t>
  </si>
  <si>
    <t>Closing balance 31/3/21</t>
  </si>
  <si>
    <t>All the play and gym equipment is sited on the village playing field, grid reference TL066959</t>
  </si>
  <si>
    <t>Ski stepper</t>
  </si>
  <si>
    <t>Outdoor Gym</t>
  </si>
  <si>
    <t>Rower</t>
  </si>
  <si>
    <t>Equipment, matting plus installation</t>
  </si>
  <si>
    <t>Air Walker</t>
  </si>
  <si>
    <t>Lat pull &amp; chest press</t>
  </si>
  <si>
    <t>Sit up</t>
  </si>
  <si>
    <t>Parallel rails</t>
  </si>
  <si>
    <t>Push hands</t>
  </si>
  <si>
    <t>Siganage, fencing</t>
  </si>
  <si>
    <t>Eco-timber moulded benches</t>
  </si>
  <si>
    <t>By the splash in Runnel Lane</t>
  </si>
  <si>
    <t>Coalyard island</t>
  </si>
  <si>
    <t>Entrance to Wilgar bridge field</t>
  </si>
  <si>
    <t>Old shelter St Marys Close</t>
  </si>
  <si>
    <t>St Marys Green</t>
  </si>
  <si>
    <t>Eastfield Cresent</t>
  </si>
  <si>
    <t>Northfield Lane</t>
  </si>
  <si>
    <t>Replaced 2020</t>
  </si>
  <si>
    <t>Komplan and playscapes</t>
  </si>
  <si>
    <t>New noticeboard</t>
  </si>
  <si>
    <t>Village hall</t>
  </si>
  <si>
    <t>Community Assets</t>
  </si>
  <si>
    <t>Christmas lights</t>
  </si>
  <si>
    <t>Outdoor socket box</t>
  </si>
  <si>
    <t>Electric lead and timer</t>
  </si>
  <si>
    <t>Electic cable</t>
  </si>
  <si>
    <t>NDP</t>
  </si>
  <si>
    <t>Y/E 31/3/21</t>
  </si>
  <si>
    <t>Y/E 31/3/22</t>
  </si>
  <si>
    <t>RECEIPTS, PAYMENTS AND BUDGET FOR THE FINANCIAL YEAR ENDING 31st MARCH 2022</t>
  </si>
  <si>
    <t>REVISED Budget for 2021/22</t>
  </si>
  <si>
    <t>Budget for 2022/23</t>
  </si>
  <si>
    <t xml:space="preserve"> Salary  </t>
  </si>
  <si>
    <t xml:space="preserve"> Pension Provision/NIC </t>
  </si>
  <si>
    <t xml:space="preserve"> Clerks expenses </t>
  </si>
  <si>
    <t xml:space="preserve"> Office expenses </t>
  </si>
  <si>
    <t xml:space="preserve"> Professional fees </t>
  </si>
  <si>
    <t xml:space="preserve"> Training budget </t>
  </si>
  <si>
    <t xml:space="preserve"> Website </t>
  </si>
  <si>
    <t xml:space="preserve"> Street Lighting </t>
  </si>
  <si>
    <t xml:space="preserve"> Playing Field  </t>
  </si>
  <si>
    <t xml:space="preserve"> Footpaths / Environment  </t>
  </si>
  <si>
    <t xml:space="preserve"> Burial Board </t>
  </si>
  <si>
    <t xml:space="preserve"> Insurance </t>
  </si>
  <si>
    <t xml:space="preserve"> Meeting facilitation </t>
  </si>
  <si>
    <t xml:space="preserve"> Audit </t>
  </si>
  <si>
    <t xml:space="preserve"> Allotment Expenditure </t>
  </si>
  <si>
    <t xml:space="preserve"> churchyard </t>
  </si>
  <si>
    <t xml:space="preserve"> Contingency / c'man's allowance </t>
  </si>
  <si>
    <t xml:space="preserve"> NHW </t>
  </si>
  <si>
    <t xml:space="preserve"> Fwd Contingency (to reserves) </t>
  </si>
  <si>
    <t xml:space="preserve"> Elections </t>
  </si>
  <si>
    <t xml:space="preserve"> VH Grant </t>
  </si>
  <si>
    <t xml:space="preserve"> Highways / amenities </t>
  </si>
  <si>
    <t xml:space="preserve"> Tree inspection/works </t>
  </si>
  <si>
    <t xml:space="preserve"> History Group </t>
  </si>
  <si>
    <t xml:space="preserve"> Street Lighting loan repayt </t>
  </si>
  <si>
    <t xml:space="preserve"> NDP project </t>
  </si>
  <si>
    <t xml:space="preserve"> To capital project </t>
  </si>
  <si>
    <t xml:space="preserve"> Sub total </t>
  </si>
  <si>
    <t xml:space="preserve">Capital Projects </t>
  </si>
  <si>
    <t xml:space="preserve"> Slide / play area </t>
  </si>
  <si>
    <t xml:space="preserve"> NALC &amp; SLCC </t>
  </si>
  <si>
    <t>Actual Last Year   (2020/21)</t>
  </si>
  <si>
    <t>Last Year   (2020/21)</t>
  </si>
  <si>
    <t>(streetlighting)</t>
  </si>
  <si>
    <t>(outdoor gym)</t>
  </si>
  <si>
    <t>BankPayt</t>
  </si>
  <si>
    <t>Chq No/Trans type</t>
  </si>
  <si>
    <t>Electricity consumption</t>
  </si>
  <si>
    <t>DD</t>
  </si>
  <si>
    <t>Audit fee</t>
  </si>
  <si>
    <t>Data protection officer fee</t>
  </si>
  <si>
    <t>March Groundworks</t>
  </si>
  <si>
    <t>April Groundworks &amp; tree works</t>
  </si>
  <si>
    <t>April urban highways</t>
  </si>
  <si>
    <t>Data protection registration fee</t>
  </si>
  <si>
    <t>Tree works</t>
  </si>
  <si>
    <t>McClaren Tree Services Ltd</t>
  </si>
  <si>
    <t>Unity bank</t>
  </si>
  <si>
    <t>Highway verges</t>
  </si>
  <si>
    <t>Tree works and groundworks</t>
  </si>
  <si>
    <t>Insurance cover</t>
  </si>
  <si>
    <t>CAS business services</t>
  </si>
  <si>
    <t>RoSPA Playsafety</t>
  </si>
  <si>
    <t>Allotment rent</t>
  </si>
  <si>
    <t>Parishwatch refund</t>
  </si>
  <si>
    <t>2a</t>
  </si>
  <si>
    <t>Monks</t>
  </si>
  <si>
    <t>Watkins</t>
  </si>
  <si>
    <t>Nationwide 95 day saver</t>
  </si>
  <si>
    <t>N'wide</t>
  </si>
  <si>
    <t>Postage (March)</t>
  </si>
  <si>
    <t>SSL certificate for website</t>
  </si>
  <si>
    <t>Total incl reserves</t>
  </si>
  <si>
    <t>October</t>
  </si>
  <si>
    <t>Trend internet security</t>
  </si>
  <si>
    <t>Streetlighting maintenance 2020</t>
  </si>
  <si>
    <t>Postcrete</t>
  </si>
  <si>
    <t>RHAB contractors</t>
  </si>
  <si>
    <t>External audit fee</t>
  </si>
  <si>
    <t>AMT contractors</t>
  </si>
  <si>
    <t>Works from green to playing field</t>
  </si>
  <si>
    <t>Membership (35%)</t>
  </si>
  <si>
    <t>PAYE/NIC</t>
  </si>
  <si>
    <t>Neighbourhood planning</t>
  </si>
  <si>
    <t>YourLocale</t>
  </si>
  <si>
    <t>Groundwork UK NDP grant</t>
  </si>
  <si>
    <t>VAT refund</t>
  </si>
  <si>
    <t>Tsohost ISP</t>
  </si>
  <si>
    <t>Less adjustment: Uncleared payments:</t>
  </si>
  <si>
    <t>Downey / White</t>
  </si>
  <si>
    <t>Wilson /Cooper</t>
  </si>
  <si>
    <t>Ridlington/Coles</t>
  </si>
  <si>
    <t>Wate</t>
  </si>
  <si>
    <t>Benches</t>
  </si>
  <si>
    <t>Earth Anchors</t>
  </si>
  <si>
    <t>June &amp; Oct Groundworks</t>
  </si>
  <si>
    <t>June &amp; Oct highways</t>
  </si>
  <si>
    <t>Grant to cemetery</t>
  </si>
  <si>
    <t>Nass&amp;Yarwell Burial Board</t>
  </si>
  <si>
    <t>Bank Chg</t>
  </si>
  <si>
    <t>Xmas lights</t>
  </si>
  <si>
    <t>flowers</t>
  </si>
  <si>
    <t>Water for allotments</t>
  </si>
  <si>
    <t>Anglian Water Business</t>
  </si>
  <si>
    <t>Burial Board grant</t>
  </si>
  <si>
    <t>N&amp;Y Burial Board</t>
  </si>
  <si>
    <t>Bank Payt</t>
  </si>
  <si>
    <t>PAYE</t>
  </si>
  <si>
    <t>Pestcontrol</t>
  </si>
  <si>
    <t>PestForce Peterborough</t>
  </si>
  <si>
    <t>sse</t>
  </si>
  <si>
    <t>dog bin emptying</t>
  </si>
  <si>
    <t>North Northants Council</t>
  </si>
  <si>
    <t>Tree work</t>
  </si>
  <si>
    <t>1605 Fireworks</t>
  </si>
  <si>
    <t>Office exps</t>
  </si>
  <si>
    <t>Clerk exps</t>
  </si>
  <si>
    <t xml:space="preserve">Jubilee Fireworks </t>
  </si>
  <si>
    <t>StanleyStreet food jubilee vendor</t>
  </si>
  <si>
    <t>Mr S Crump</t>
  </si>
  <si>
    <t>PCC road safety grant</t>
  </si>
  <si>
    <t>Wayleave WPD</t>
  </si>
  <si>
    <t>Feb</t>
  </si>
  <si>
    <t>Money in</t>
  </si>
  <si>
    <t>Land registry costs</t>
  </si>
  <si>
    <t>land registry</t>
  </si>
  <si>
    <t>Land reg fees</t>
  </si>
  <si>
    <t>Jubilee carpet</t>
  </si>
  <si>
    <t>Amazon reseller</t>
  </si>
  <si>
    <t>Jubilee paint</t>
  </si>
  <si>
    <t>Jubilee masks</t>
  </si>
  <si>
    <t>Jubilee bunting</t>
  </si>
  <si>
    <t>Jubilee balloons</t>
  </si>
  <si>
    <t>Salary (Backdated to 1/4/21)</t>
  </si>
  <si>
    <t xml:space="preserve">May 2021 election </t>
  </si>
  <si>
    <t xml:space="preserve">S50 highway licence for SID </t>
  </si>
  <si>
    <t>West Northants Council</t>
  </si>
  <si>
    <t>Jubilee loo hire</t>
  </si>
  <si>
    <t>LattaHire</t>
  </si>
  <si>
    <t>Northants CALC AMP grant</t>
  </si>
  <si>
    <t>31 March 20201    £</t>
  </si>
  <si>
    <t>31 March 2022 £</t>
  </si>
  <si>
    <t>New street lighting</t>
  </si>
  <si>
    <t>Outdoor gym</t>
  </si>
  <si>
    <t>Training costs diminished as no conferences were attended</t>
  </si>
  <si>
    <t>Street lighting costs reduced due to replacement with LED lighting</t>
  </si>
  <si>
    <t>We had some additional tree works during the year due to storm damage plus had a footpath surface upgraded on our land</t>
  </si>
  <si>
    <t>This cost point covers SLCC fees</t>
  </si>
  <si>
    <t>The burial board commissioned roofing work which requited additional expenditure</t>
  </si>
  <si>
    <t>We switched insurance supplier and received a reduced fee</t>
  </si>
  <si>
    <t>This is the adjusment of SLCC fee cost point per above</t>
  </si>
  <si>
    <t>There was less hire due to covid restrictions - payment in April 2020 (previous year) covered from 20/1/19.</t>
  </si>
  <si>
    <t xml:space="preserve">Office expense claim in 2022 covered 1/1/20 to 31/3/22.  </t>
  </si>
  <si>
    <t>21/22 includes covers website fees which had been allocated to office costs in 20/21</t>
  </si>
  <si>
    <t>Communications</t>
  </si>
  <si>
    <t>There were fewer history group meetings</t>
  </si>
  <si>
    <t>A village hall grant was not made in 21/22</t>
  </si>
  <si>
    <t>There was an uncontested election in May 21</t>
  </si>
  <si>
    <t>Cohesion/wellbeing</t>
  </si>
  <si>
    <t xml:space="preserve">The cohesion cost point refers to defib pads plus procurement of supplies towards our jubilee celebrations in June 2022 </t>
  </si>
  <si>
    <t>There was more expenditure on our neighbourhood plan in 21/22 than the previous year</t>
  </si>
  <si>
    <t>The project to replace street lighting in 2020/21 was a one-off</t>
  </si>
  <si>
    <t>The project to install an outdoor gym in 2020/21 was a one-off</t>
  </si>
  <si>
    <t>VAT claim was for 19/20 and 20/21</t>
  </si>
  <si>
    <t>The water bill was exceptionally high due to an undetected water leak</t>
  </si>
  <si>
    <t>We received less grant money in 21/22 than the previous year</t>
  </si>
  <si>
    <t>The council is purposefully building reserves  This is due to a community need for a new village hall / community hub.  This requirement is one of the primary reasons the council is in the process of undertaking a Neighbourhood Development Plan</t>
  </si>
  <si>
    <t xml:space="preserve">Ameneties includes a programme of bench producrement and installation, to aid wellbeing and walking during the pandemic.  There were more installed in 20/21 than 21/22 </t>
  </si>
  <si>
    <t xml:space="preserve">Pocket Park picnic bench </t>
  </si>
  <si>
    <t>Parkway benck</t>
  </si>
  <si>
    <t xml:space="preserve">Village Hall </t>
  </si>
  <si>
    <t>Road</t>
  </si>
  <si>
    <t>Path</t>
  </si>
  <si>
    <t>Path to playing field</t>
  </si>
  <si>
    <t>From green to playing field</t>
  </si>
  <si>
    <t>Asset value</t>
  </si>
  <si>
    <t>Assets increased by cost of benches and pathway</t>
  </si>
  <si>
    <t>-  An explantation for the auditors of all differences above 15% between this and last year</t>
  </si>
  <si>
    <t>31 March 2022     £</t>
  </si>
  <si>
    <t>Rounded</t>
  </si>
  <si>
    <t>Audit bank rec</t>
  </si>
  <si>
    <t xml:space="preserve"> Cohesion / wellbeing </t>
  </si>
  <si>
    <t>SSL certification</t>
  </si>
  <si>
    <t>Antivirus software</t>
  </si>
  <si>
    <t>Groundworks</t>
  </si>
  <si>
    <t>Website for history group</t>
  </si>
  <si>
    <t>Jubilee cut-out</t>
  </si>
  <si>
    <t>Hall Hire</t>
  </si>
  <si>
    <t>Cohesion / wellbeing</t>
  </si>
  <si>
    <t>Wright</t>
  </si>
  <si>
    <t>Toys and games</t>
  </si>
  <si>
    <t xml:space="preserve">PartyChest </t>
  </si>
  <si>
    <t>March</t>
  </si>
  <si>
    <t>(Detailed like this on invoice with incorrect adding up)</t>
  </si>
  <si>
    <t>553 7696 03</t>
  </si>
  <si>
    <t>Electricity supply</t>
  </si>
  <si>
    <t>Nassington Parish Council</t>
  </si>
  <si>
    <t xml:space="preserve">553 7696 03 </t>
  </si>
  <si>
    <t>website support</t>
  </si>
  <si>
    <t>559 0978 89</t>
  </si>
  <si>
    <t>Safety inspection</t>
  </si>
  <si>
    <t>182 1470 21</t>
  </si>
  <si>
    <t xml:space="preserve">website </t>
  </si>
  <si>
    <t>credit electricity supply adjustment refund</t>
  </si>
  <si>
    <t>187 5510 82</t>
  </si>
  <si>
    <t>352 3022 43</t>
  </si>
  <si>
    <t>Streetlighting maintenance</t>
  </si>
  <si>
    <t>881 6035 19</t>
  </si>
  <si>
    <t>concrete mix</t>
  </si>
  <si>
    <t>440 4982 50</t>
  </si>
  <si>
    <t>audit fee</t>
  </si>
  <si>
    <t>344 3763 51</t>
  </si>
  <si>
    <t>groundsworks</t>
  </si>
  <si>
    <t>planning consultant</t>
  </si>
  <si>
    <t>219 7862 28</t>
  </si>
  <si>
    <t>bench &amp; accessory</t>
  </si>
  <si>
    <t>185 9915 48</t>
  </si>
  <si>
    <t xml:space="preserve">185 9915 48 </t>
  </si>
  <si>
    <t>370 15812 34</t>
  </si>
  <si>
    <t>Refuse collections</t>
  </si>
  <si>
    <t>Financial Statement for year:</t>
  </si>
  <si>
    <t>329 7405 83</t>
  </si>
  <si>
    <t>equipment hire</t>
  </si>
  <si>
    <t>735 9890 80</t>
  </si>
  <si>
    <t>carpet</t>
  </si>
  <si>
    <t>Jubilee sundries</t>
  </si>
  <si>
    <t>727 2558 21</t>
  </si>
  <si>
    <t>306 4897 83</t>
  </si>
  <si>
    <t>216 0897 07</t>
  </si>
  <si>
    <t>720 2930 69</t>
  </si>
  <si>
    <t>facilities for jubilee</t>
  </si>
  <si>
    <t>87 63283 89</t>
  </si>
  <si>
    <t>games hire for jubilee</t>
  </si>
  <si>
    <t>Nationwide account</t>
  </si>
  <si>
    <t>cc</t>
  </si>
  <si>
    <t>CC</t>
  </si>
  <si>
    <t>Funeral bouquet</t>
  </si>
  <si>
    <t>Interflora France</t>
  </si>
  <si>
    <t>Does the total equal Box 8 in Section 2 of the Annual Return?</t>
  </si>
  <si>
    <t>What is the figure in Box 8 in Section 2 of the Annual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</si>
</sst>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0.00;[Red]#,##0.00"/>
    <numFmt numFmtId="165" formatCode="#,##0.00_ ;[Red]\-#,##0.00\ "/>
    <numFmt numFmtId="166" formatCode="_-* #,##0_-;\-* #,##0_-;_-* &quot;-&quot;??_-;_-@_-"/>
    <numFmt numFmtId="167" formatCode="_-* #,##0.00000_-;\-* #,##0.00000_-;_-* &quot;-&quot;??_-;_-@_-"/>
    <numFmt numFmtId="168" formatCode="dd\ mmm\ yy\ "/>
    <numFmt numFmtId="169" formatCode="#,##0\ ;\(#,##0\);\-\ \ \ ;"/>
    <numFmt numFmtId="170" formatCode="#,##0.00\ ;\(#,##0.00\);\-\ \ \ ;"/>
    <numFmt numFmtId="171" formatCode="_-* #,##0.000_-;\-* #,##0.000_-;_-* &quot;-&quot;??_-;_-@_-"/>
    <numFmt numFmtId="172" formatCode="dd\ mmm\ yy"/>
    <numFmt numFmtId="173" formatCode="[$-809]dd\ mmmm\ yyyy;@"/>
    <numFmt numFmtId="174" formatCode="&quot;£&quot;#,##0.00"/>
    <numFmt numFmtId="175" formatCode="dd/mmm/yyyy"/>
    <numFmt numFmtId="176" formatCode="#,##0_ ;[Red]\-#,##0\ "/>
    <numFmt numFmtId="177" formatCode="0.00_ ;[Red]\-0.00\ "/>
    <numFmt numFmtId="178" formatCode="dd\ mmm\ yyyy"/>
    <numFmt numFmtId="179" formatCode="#,##0.000;[Red]#,##0.000"/>
    <numFmt numFmtId="180" formatCode="#,##0.0000;[Red]#,##0.0000"/>
    <numFmt numFmtId="181" formatCode="0.0%"/>
    <numFmt numFmtId="182" formatCode="mmm\ yyyy"/>
    <numFmt numFmtId="183" formatCode="\ mmm\ yy"/>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name val="Arial"/>
      <family val="2"/>
    </font>
    <font>
      <b/>
      <sz val="12"/>
      <name val="Arial"/>
      <family val="2"/>
    </font>
    <font>
      <b/>
      <sz val="11"/>
      <name val="Arial"/>
      <family val="2"/>
    </font>
    <font>
      <sz val="9"/>
      <name val="Arial"/>
      <family val="2"/>
    </font>
    <font>
      <sz val="10"/>
      <name val="Arial Unicode MS"/>
      <family val="2"/>
    </font>
    <font>
      <sz val="8"/>
      <name val="Arial"/>
      <family val="2"/>
    </font>
    <font>
      <sz val="11"/>
      <name val="Calibri"/>
      <family val="2"/>
    </font>
    <font>
      <b/>
      <sz val="11"/>
      <name val="Calibri"/>
      <family val="2"/>
    </font>
    <font>
      <sz val="10"/>
      <name val="Calibri"/>
      <family val="2"/>
    </font>
    <font>
      <sz val="10.5"/>
      <name val="Calibri"/>
      <family val="2"/>
    </font>
    <font>
      <b/>
      <sz val="10.5"/>
      <name val="Calibri"/>
      <family val="2"/>
    </font>
    <font>
      <sz val="11"/>
      <color indexed="18"/>
      <name val="Calibri"/>
      <family val="2"/>
    </font>
    <font>
      <b/>
      <sz val="11"/>
      <color indexed="18"/>
      <name val="Calibri"/>
      <family val="2"/>
    </font>
    <font>
      <sz val="11"/>
      <color indexed="22"/>
      <name val="Calibri"/>
      <family val="2"/>
    </font>
    <font>
      <b/>
      <sz val="11"/>
      <color indexed="10"/>
      <name val="Calibri"/>
      <family val="2"/>
    </font>
    <font>
      <b/>
      <sz val="14"/>
      <name val="Calibri"/>
      <family val="2"/>
    </font>
    <font>
      <sz val="14"/>
      <name val="Arial"/>
      <family val="2"/>
    </font>
    <font>
      <b/>
      <sz val="12"/>
      <name val="Calibri"/>
      <family val="2"/>
    </font>
    <font>
      <sz val="12"/>
      <name val="Calibri"/>
      <family val="2"/>
    </font>
    <font>
      <sz val="10"/>
      <name val="Arial"/>
      <family val="2"/>
    </font>
    <font>
      <sz val="11"/>
      <name val="Arial"/>
      <family val="2"/>
    </font>
    <font>
      <sz val="9.5"/>
      <name val="Arial"/>
      <family val="2"/>
    </font>
    <font>
      <sz val="12"/>
      <name val="Arial"/>
      <family val="2"/>
    </font>
    <font>
      <i/>
      <sz val="11"/>
      <name val="Calibri"/>
      <family val="2"/>
    </font>
    <font>
      <sz val="9"/>
      <color indexed="81"/>
      <name val="Tahoma"/>
      <family val="2"/>
    </font>
    <font>
      <sz val="11"/>
      <name val="Calibri"/>
      <family val="2"/>
      <scheme val="minor"/>
    </font>
    <font>
      <i/>
      <sz val="11"/>
      <name val="Calibri"/>
      <family val="2"/>
      <scheme val="minor"/>
    </font>
    <font>
      <b/>
      <sz val="11"/>
      <color theme="6" tint="0.79998168889431442"/>
      <name val="Calibri"/>
      <family val="2"/>
    </font>
    <font>
      <i/>
      <sz val="11"/>
      <color theme="4" tint="-0.24994659260841701"/>
      <name val="Calibri"/>
      <family val="2"/>
      <scheme val="minor"/>
    </font>
    <font>
      <sz val="11"/>
      <color rgb="FF0070C0"/>
      <name val="Calibri"/>
      <family val="2"/>
    </font>
    <font>
      <sz val="10"/>
      <name val="Arial"/>
      <family val="2"/>
    </font>
    <font>
      <sz val="10"/>
      <name val="Arial"/>
      <family val="2"/>
    </font>
    <font>
      <b/>
      <sz val="11"/>
      <color theme="3"/>
      <name val="Calibri"/>
      <family val="2"/>
    </font>
    <font>
      <sz val="11"/>
      <color theme="0"/>
      <name val="Calibri"/>
      <family val="2"/>
    </font>
    <font>
      <b/>
      <sz val="11"/>
      <color theme="0"/>
      <name val="Calibri"/>
      <family val="2"/>
    </font>
    <font>
      <sz val="11"/>
      <color rgb="FFFF0000"/>
      <name val="Calibri"/>
      <family val="2"/>
    </font>
    <font>
      <sz val="12"/>
      <name val="Calibri"/>
      <family val="2"/>
      <scheme val="minor"/>
    </font>
    <font>
      <b/>
      <sz val="12"/>
      <color indexed="54"/>
      <name val="Calibri"/>
      <family val="2"/>
      <scheme val="minor"/>
    </font>
    <font>
      <sz val="12"/>
      <color theme="0"/>
      <name val="Calibri"/>
      <family val="2"/>
      <scheme val="minor"/>
    </font>
    <font>
      <b/>
      <sz val="12"/>
      <name val="Calibri"/>
      <family val="2"/>
      <scheme val="minor"/>
    </font>
    <font>
      <sz val="12"/>
      <color indexed="56"/>
      <name val="Calibri"/>
      <family val="2"/>
      <scheme val="minor"/>
    </font>
    <font>
      <sz val="12"/>
      <color indexed="9"/>
      <name val="Calibri"/>
      <family val="2"/>
      <scheme val="minor"/>
    </font>
    <font>
      <u/>
      <sz val="12"/>
      <color indexed="12"/>
      <name val="Calibri"/>
      <family val="2"/>
      <scheme val="minor"/>
    </font>
    <font>
      <u/>
      <sz val="12"/>
      <color indexed="9"/>
      <name val="Calibri"/>
      <family val="2"/>
      <scheme val="minor"/>
    </font>
    <font>
      <sz val="11"/>
      <name val="Sylfaen"/>
      <family val="1"/>
    </font>
    <font>
      <sz val="11"/>
      <color theme="1"/>
      <name val="Calibri"/>
      <family val="2"/>
      <charset val="204"/>
      <scheme val="minor"/>
    </font>
    <font>
      <sz val="8"/>
      <name val="Helvetica"/>
    </font>
    <font>
      <b/>
      <sz val="11"/>
      <color theme="3" tint="-0.499984740745262"/>
      <name val="Calibri"/>
      <family val="2"/>
    </font>
    <font>
      <sz val="11"/>
      <color theme="3" tint="-0.499984740745262"/>
      <name val="Calibri"/>
      <family val="2"/>
    </font>
    <font>
      <b/>
      <sz val="10"/>
      <color indexed="62"/>
      <name val="Calibri"/>
      <family val="2"/>
    </font>
    <font>
      <sz val="10"/>
      <name val="Verdana"/>
      <family val="2"/>
    </font>
    <font>
      <b/>
      <sz val="11"/>
      <name val="Calibri"/>
      <family val="2"/>
      <scheme val="minor"/>
    </font>
    <font>
      <sz val="11"/>
      <color indexed="10"/>
      <name val="Calibri"/>
      <family val="2"/>
      <scheme val="minor"/>
    </font>
    <font>
      <b/>
      <sz val="9"/>
      <color indexed="81"/>
      <name val="Tahoma"/>
      <family val="2"/>
    </font>
    <font>
      <b/>
      <sz val="11"/>
      <color rgb="FF002060"/>
      <name val="Calibri"/>
      <family val="2"/>
    </font>
    <font>
      <sz val="11"/>
      <color theme="0" tint="-0.34998626667073579"/>
      <name val="Calibri"/>
      <family val="2"/>
    </font>
    <font>
      <sz val="10"/>
      <color theme="0"/>
      <name val="Arial"/>
      <family val="2"/>
    </font>
    <font>
      <b/>
      <sz val="11"/>
      <color theme="0"/>
      <name val="Arial"/>
      <family val="2"/>
    </font>
    <font>
      <sz val="10"/>
      <color theme="0" tint="-0.499984740745262"/>
      <name val="Arial"/>
      <family val="2"/>
    </font>
    <font>
      <strike/>
      <sz val="11"/>
      <name val="Calibri"/>
      <family val="2"/>
      <scheme val="minor"/>
    </font>
    <font>
      <sz val="10"/>
      <name val="Arial"/>
      <family val="2"/>
    </font>
    <font>
      <sz val="10.5"/>
      <name val="Calibri"/>
      <family val="2"/>
      <scheme val="minor"/>
    </font>
    <font>
      <sz val="12"/>
      <color rgb="FFFF0000"/>
      <name val="Calibri"/>
      <family val="2"/>
      <scheme val="minor"/>
    </font>
    <font>
      <sz val="11"/>
      <color theme="0" tint="-0.14999847407452621"/>
      <name val="Calibri"/>
      <family val="2"/>
    </font>
    <font>
      <sz val="11"/>
      <color theme="4" tint="-0.24994659260841701"/>
      <name val="Calibri"/>
      <family val="2"/>
      <scheme val="minor"/>
    </font>
  </fonts>
  <fills count="33">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s>
  <borders count="20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thin">
        <color indexed="64"/>
      </right>
      <top style="thin">
        <color indexed="64"/>
      </top>
      <bottom style="double">
        <color indexed="64"/>
      </bottom>
      <diagonal/>
    </border>
    <border>
      <left style="hair">
        <color indexed="23"/>
      </left>
      <right style="hair">
        <color indexed="23"/>
      </right>
      <top style="hair">
        <color indexed="23"/>
      </top>
      <bottom style="hair">
        <color indexed="23"/>
      </bottom>
      <diagonal/>
    </border>
    <border>
      <left style="hair">
        <color indexed="23"/>
      </left>
      <right style="hair">
        <color indexed="23"/>
      </right>
      <top style="thin">
        <color indexed="64"/>
      </top>
      <bottom style="hair">
        <color indexed="23"/>
      </bottom>
      <diagonal/>
    </border>
    <border>
      <left style="hair">
        <color indexed="23"/>
      </left>
      <right style="hair">
        <color indexed="23"/>
      </right>
      <top/>
      <bottom/>
      <diagonal/>
    </border>
    <border>
      <left style="hair">
        <color indexed="23"/>
      </left>
      <right style="hair">
        <color indexed="23"/>
      </right>
      <top/>
      <bottom style="hair">
        <color indexed="23"/>
      </bottom>
      <diagonal/>
    </border>
    <border>
      <left/>
      <right/>
      <top style="hair">
        <color indexed="23"/>
      </top>
      <bottom style="hair">
        <color indexed="23"/>
      </bottom>
      <diagonal/>
    </border>
    <border>
      <left/>
      <right/>
      <top/>
      <bottom style="hair">
        <color indexed="23"/>
      </bottom>
      <diagonal/>
    </border>
    <border>
      <left style="hair">
        <color indexed="23"/>
      </left>
      <right style="hair">
        <color indexed="23"/>
      </right>
      <top style="hair">
        <color indexed="23"/>
      </top>
      <bottom/>
      <diagonal/>
    </border>
    <border>
      <left style="hair">
        <color indexed="23"/>
      </left>
      <right style="hair">
        <color indexed="23"/>
      </right>
      <top style="hair">
        <color indexed="23"/>
      </top>
      <bottom style="thin">
        <color indexed="64"/>
      </bottom>
      <diagonal/>
    </border>
    <border>
      <left/>
      <right style="hair">
        <color indexed="23"/>
      </right>
      <top style="hair">
        <color indexed="23"/>
      </top>
      <bottom style="hair">
        <color indexed="23"/>
      </bottom>
      <diagonal/>
    </border>
    <border>
      <left/>
      <right style="hair">
        <color indexed="23"/>
      </right>
      <top style="hair">
        <color indexed="23"/>
      </top>
      <bottom/>
      <diagonal/>
    </border>
    <border>
      <left/>
      <right/>
      <top/>
      <bottom style="thin">
        <color indexed="64"/>
      </bottom>
      <diagonal/>
    </border>
    <border>
      <left/>
      <right/>
      <top/>
      <bottom style="thin">
        <color indexed="23"/>
      </bottom>
      <diagonal/>
    </border>
    <border>
      <left style="hair">
        <color indexed="64"/>
      </left>
      <right style="hair">
        <color indexed="64"/>
      </right>
      <top/>
      <bottom style="thin">
        <color indexed="23"/>
      </bottom>
      <diagonal/>
    </border>
    <border>
      <left/>
      <right style="hair">
        <color indexed="64"/>
      </right>
      <top/>
      <bottom style="thin">
        <color indexed="23"/>
      </bottom>
      <diagonal/>
    </border>
    <border>
      <left style="hair">
        <color indexed="23"/>
      </left>
      <right style="thin">
        <color indexed="64"/>
      </right>
      <top style="hair">
        <color indexed="23"/>
      </top>
      <bottom style="hair">
        <color indexed="23"/>
      </bottom>
      <diagonal/>
    </border>
    <border>
      <left/>
      <right style="hair">
        <color indexed="23"/>
      </right>
      <top style="hair">
        <color indexed="23"/>
      </top>
      <bottom style="thin">
        <color indexed="64"/>
      </bottom>
      <diagonal/>
    </border>
    <border>
      <left/>
      <right style="hair">
        <color indexed="64"/>
      </right>
      <top/>
      <bottom style="thin">
        <color indexed="64"/>
      </bottom>
      <diagonal/>
    </border>
    <border>
      <left/>
      <right style="hair">
        <color indexed="64"/>
      </right>
      <top style="thin">
        <color indexed="23"/>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23"/>
      </top>
      <bottom/>
      <diagonal/>
    </border>
    <border>
      <left style="hair">
        <color indexed="64"/>
      </left>
      <right style="hair">
        <color indexed="64"/>
      </right>
      <top style="hair">
        <color indexed="23"/>
      </top>
      <bottom style="hair">
        <color indexed="23"/>
      </bottom>
      <diagonal/>
    </border>
    <border>
      <left style="hair">
        <color indexed="23"/>
      </left>
      <right/>
      <top style="hair">
        <color indexed="23"/>
      </top>
      <bottom style="hair">
        <color indexed="23"/>
      </bottom>
      <diagonal/>
    </border>
    <border>
      <left style="hair">
        <color indexed="64"/>
      </left>
      <right/>
      <top/>
      <bottom style="thin">
        <color indexed="23"/>
      </bottom>
      <diagonal/>
    </border>
    <border>
      <left style="hair">
        <color indexed="23"/>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23"/>
      </bottom>
      <diagonal/>
    </border>
    <border>
      <left style="thin">
        <color indexed="64"/>
      </left>
      <right/>
      <top/>
      <bottom style="thin">
        <color indexed="64"/>
      </bottom>
      <diagonal/>
    </border>
    <border>
      <left style="hair">
        <color indexed="23"/>
      </left>
      <right style="hair">
        <color indexed="64"/>
      </right>
      <top style="hair">
        <color indexed="23"/>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double">
        <color indexed="64"/>
      </top>
      <bottom/>
      <diagonal/>
    </border>
    <border>
      <left style="thin">
        <color indexed="64"/>
      </left>
      <right/>
      <top style="double">
        <color indexed="64"/>
      </top>
      <bottom/>
      <diagonal/>
    </border>
    <border>
      <left style="thin">
        <color indexed="64"/>
      </left>
      <right/>
      <top/>
      <bottom style="medium">
        <color indexed="64"/>
      </bottom>
      <diagonal/>
    </border>
    <border>
      <left style="hair">
        <color indexed="23"/>
      </left>
      <right style="thin">
        <color indexed="64"/>
      </right>
      <top style="hair">
        <color indexed="23"/>
      </top>
      <bottom style="thin">
        <color indexed="64"/>
      </bottom>
      <diagonal/>
    </border>
    <border>
      <left/>
      <right style="thin">
        <color indexed="64"/>
      </right>
      <top style="hair">
        <color indexed="23"/>
      </top>
      <bottom style="hair">
        <color indexed="23"/>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hair">
        <color indexed="23"/>
      </left>
      <right/>
      <top style="hair">
        <color indexed="23"/>
      </top>
      <bottom/>
      <diagonal/>
    </border>
    <border>
      <left/>
      <right style="thin">
        <color indexed="64"/>
      </right>
      <top/>
      <bottom style="hair">
        <color indexed="23"/>
      </bottom>
      <diagonal/>
    </border>
    <border>
      <left style="hair">
        <color indexed="23"/>
      </left>
      <right style="thin">
        <color indexed="64"/>
      </right>
      <top style="hair">
        <color indexed="23"/>
      </top>
      <bottom/>
      <diagonal/>
    </border>
    <border>
      <left style="thin">
        <color indexed="64"/>
      </left>
      <right style="hair">
        <color theme="0" tint="-0.249977111117893"/>
      </right>
      <top style="thin">
        <color indexed="64"/>
      </top>
      <bottom style="thin">
        <color indexed="64"/>
      </bottom>
      <diagonal/>
    </border>
    <border>
      <left style="hair">
        <color theme="0" tint="-0.249977111117893"/>
      </left>
      <right style="hair">
        <color theme="0" tint="-0.249977111117893"/>
      </right>
      <top style="thin">
        <color indexed="64"/>
      </top>
      <bottom style="thin">
        <color indexed="64"/>
      </bottom>
      <diagonal/>
    </border>
    <border>
      <left style="thin">
        <color indexed="64"/>
      </left>
      <right style="hair">
        <color theme="0" tint="-0.249977111117893"/>
      </right>
      <top style="thin">
        <color indexed="64"/>
      </top>
      <bottom/>
      <diagonal/>
    </border>
    <border>
      <left style="hair">
        <color theme="0" tint="-0.249977111117893"/>
      </left>
      <right style="hair">
        <color theme="0" tint="-0.249977111117893"/>
      </right>
      <top style="thin">
        <color indexed="64"/>
      </top>
      <bottom/>
      <diagonal/>
    </border>
    <border>
      <left style="thin">
        <color indexed="64"/>
      </left>
      <right style="hair">
        <color theme="0" tint="-0.249977111117893"/>
      </right>
      <top/>
      <bottom/>
      <diagonal/>
    </border>
    <border>
      <left style="thin">
        <color indexed="64"/>
      </left>
      <right style="hair">
        <color theme="0" tint="-0.249977111117893"/>
      </right>
      <top/>
      <bottom style="hair">
        <color theme="0" tint="-0.249977111117893"/>
      </bottom>
      <diagonal/>
    </border>
    <border>
      <left style="hair">
        <color theme="0" tint="-0.249977111117893"/>
      </left>
      <right style="hair">
        <color theme="0" tint="-0.249977111117893"/>
      </right>
      <top/>
      <bottom/>
      <diagonal/>
    </border>
    <border>
      <left style="hair">
        <color theme="0" tint="-0.249977111117893"/>
      </left>
      <right style="hair">
        <color theme="0" tint="-0.249977111117893"/>
      </right>
      <top/>
      <bottom style="hair">
        <color theme="0" tint="-0.249977111117893"/>
      </bottom>
      <diagonal/>
    </border>
    <border>
      <left style="thin">
        <color indexed="64"/>
      </left>
      <right style="thin">
        <color indexed="64"/>
      </right>
      <top style="thin">
        <color indexed="64"/>
      </top>
      <bottom style="hair">
        <color theme="0" tint="-0.249977111117893"/>
      </bottom>
      <diagonal/>
    </border>
    <border>
      <left/>
      <right/>
      <top style="hair">
        <color theme="0" tint="-0.249977111117893"/>
      </top>
      <bottom style="hair">
        <color theme="0" tint="-0.249977111117893"/>
      </bottom>
      <diagonal/>
    </border>
    <border>
      <left style="thin">
        <color indexed="64"/>
      </left>
      <right style="thin">
        <color indexed="64"/>
      </right>
      <top style="hair">
        <color theme="0" tint="-0.249977111117893"/>
      </top>
      <bottom style="hair">
        <color theme="0" tint="-0.249977111117893"/>
      </bottom>
      <diagonal/>
    </border>
    <border>
      <left style="hair">
        <color theme="0" tint="-0.249977111117893"/>
      </left>
      <right style="thin">
        <color indexed="64"/>
      </right>
      <top style="thin">
        <color indexed="64"/>
      </top>
      <bottom/>
      <diagonal/>
    </border>
    <border>
      <left style="hair">
        <color theme="0" tint="-0.249977111117893"/>
      </left>
      <right style="thin">
        <color indexed="64"/>
      </right>
      <top/>
      <bottom/>
      <diagonal/>
    </border>
    <border>
      <left style="hair">
        <color theme="0" tint="-0.249977111117893"/>
      </left>
      <right style="thin">
        <color indexed="64"/>
      </right>
      <top style="hair">
        <color theme="0" tint="-0.249977111117893"/>
      </top>
      <bottom style="hair">
        <color theme="0" tint="-0.249977111117893"/>
      </bottom>
      <diagonal/>
    </border>
    <border>
      <left style="hair">
        <color theme="0" tint="-0.249977111117893"/>
      </left>
      <right style="thin">
        <color indexed="64"/>
      </right>
      <top style="thin">
        <color indexed="64"/>
      </top>
      <bottom style="hair">
        <color theme="0" tint="-0.249977111117893"/>
      </bottom>
      <diagonal/>
    </border>
    <border>
      <left style="thin">
        <color indexed="64"/>
      </left>
      <right/>
      <top style="hair">
        <color indexed="23"/>
      </top>
      <bottom style="hair">
        <color indexed="23"/>
      </bottom>
      <diagonal/>
    </border>
    <border>
      <left style="thin">
        <color indexed="64"/>
      </left>
      <right/>
      <top/>
      <bottom style="thin">
        <color indexed="23"/>
      </bottom>
      <diagonal/>
    </border>
    <border>
      <left/>
      <right style="hair">
        <color theme="0" tint="-0.249977111117893"/>
      </right>
      <top style="thin">
        <color indexed="64"/>
      </top>
      <bottom/>
      <diagonal/>
    </border>
    <border>
      <left/>
      <right style="hair">
        <color theme="0" tint="-0.249977111117893"/>
      </right>
      <top/>
      <bottom/>
      <diagonal/>
    </border>
    <border>
      <left/>
      <right style="hair">
        <color theme="0" tint="-0.249977111117893"/>
      </right>
      <top/>
      <bottom style="thin">
        <color indexed="64"/>
      </bottom>
      <diagonal/>
    </border>
    <border>
      <left/>
      <right style="hair">
        <color theme="0" tint="-0.14999847407452621"/>
      </right>
      <top/>
      <bottom style="thin">
        <color indexed="64"/>
      </bottom>
      <diagonal/>
    </border>
    <border>
      <left style="hair">
        <color theme="0" tint="-0.14999847407452621"/>
      </left>
      <right style="hair">
        <color theme="0" tint="-0.14999847407452621"/>
      </right>
      <top/>
      <bottom style="thin">
        <color indexed="64"/>
      </bottom>
      <diagonal/>
    </border>
    <border>
      <left style="thin">
        <color theme="0"/>
      </left>
      <right style="thin">
        <color theme="0"/>
      </right>
      <top style="thin">
        <color theme="0"/>
      </top>
      <bottom style="thin">
        <color theme="0"/>
      </bottom>
      <diagonal/>
    </border>
    <border>
      <left style="hair">
        <color theme="3" tint="0.79998168889431442"/>
      </left>
      <right style="hair">
        <color theme="3" tint="0.79998168889431442"/>
      </right>
      <top style="hair">
        <color theme="3" tint="0.79998168889431442"/>
      </top>
      <bottom style="hair">
        <color theme="3" tint="0.79998168889431442"/>
      </bottom>
      <diagonal/>
    </border>
    <border>
      <left style="hair">
        <color theme="3" tint="0.79998168889431442"/>
      </left>
      <right style="hair">
        <color theme="3" tint="0.79998168889431442"/>
      </right>
      <top/>
      <bottom style="hair">
        <color theme="3" tint="0.79998168889431442"/>
      </bottom>
      <diagonal/>
    </border>
    <border>
      <left style="hair">
        <color theme="3" tint="0.79998168889431442"/>
      </left>
      <right style="thin">
        <color indexed="64"/>
      </right>
      <top/>
      <bottom style="hair">
        <color theme="3" tint="0.79998168889431442"/>
      </bottom>
      <diagonal/>
    </border>
    <border>
      <left/>
      <right style="hair">
        <color theme="3" tint="0.79998168889431442"/>
      </right>
      <top/>
      <bottom style="hair">
        <color theme="3" tint="0.7999816888943144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right style="hair">
        <color indexed="23"/>
      </right>
      <top/>
      <bottom/>
      <diagonal/>
    </border>
    <border>
      <left style="medium">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hair">
        <color theme="0" tint="-0.249977111117893"/>
      </left>
      <right style="thin">
        <color indexed="64"/>
      </right>
      <top style="hair">
        <color theme="0" tint="-0.249977111117893"/>
      </top>
      <bottom style="thin">
        <color indexed="64"/>
      </bottom>
      <diagonal/>
    </border>
    <border>
      <left style="thin">
        <color indexed="64"/>
      </left>
      <right style="thin">
        <color indexed="64"/>
      </right>
      <top style="hair">
        <color theme="0" tint="-0.249977111117893"/>
      </top>
      <bottom style="thin">
        <color indexed="64"/>
      </bottom>
      <diagonal/>
    </border>
    <border>
      <left style="thin">
        <color indexed="64"/>
      </left>
      <right style="hair">
        <color theme="0" tint="-0.249977111117893"/>
      </right>
      <top/>
      <bottom style="thin">
        <color indexed="64"/>
      </bottom>
      <diagonal/>
    </border>
    <border>
      <left style="hair">
        <color theme="0" tint="-0.249977111117893"/>
      </left>
      <right style="hair">
        <color theme="0" tint="-0.249977111117893"/>
      </right>
      <top/>
      <bottom style="thin">
        <color indexed="64"/>
      </bottom>
      <diagonal/>
    </border>
    <border>
      <left style="hair">
        <color theme="0" tint="-0.249977111117893"/>
      </left>
      <right style="thin">
        <color indexed="64"/>
      </right>
      <top/>
      <bottom style="thin">
        <color indexed="64"/>
      </bottom>
      <diagonal/>
    </border>
    <border>
      <left style="thin">
        <color indexed="64"/>
      </left>
      <right/>
      <top style="hair">
        <color indexed="23"/>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style="hair">
        <color indexed="23"/>
      </right>
      <top style="hair">
        <color indexed="23"/>
      </top>
      <bottom style="hair">
        <color indexed="23"/>
      </bottom>
      <diagonal/>
    </border>
    <border>
      <left style="medium">
        <color indexed="64"/>
      </left>
      <right style="hair">
        <color indexed="23"/>
      </right>
      <top/>
      <bottom style="hair">
        <color indexed="23"/>
      </bottom>
      <diagonal/>
    </border>
    <border>
      <left style="medium">
        <color indexed="64"/>
      </left>
      <right/>
      <top style="hair">
        <color indexed="23"/>
      </top>
      <bottom style="hair">
        <color indexed="23"/>
      </bottom>
      <diagonal/>
    </border>
    <border>
      <left style="medium">
        <color indexed="64"/>
      </left>
      <right style="hair">
        <color indexed="23"/>
      </right>
      <top style="hair">
        <color indexed="23"/>
      </top>
      <bottom style="thin">
        <color indexed="64"/>
      </bottom>
      <diagonal/>
    </border>
    <border>
      <left style="medium">
        <color indexed="64"/>
      </left>
      <right/>
      <top/>
      <bottom style="thin">
        <color indexed="64"/>
      </bottom>
      <diagonal/>
    </border>
    <border>
      <left style="medium">
        <color indexed="64"/>
      </left>
      <right style="hair">
        <color indexed="64"/>
      </right>
      <top style="hair">
        <color indexed="23"/>
      </top>
      <bottom style="hair">
        <color indexed="23"/>
      </bottom>
      <diagonal/>
    </border>
    <border>
      <left style="hair">
        <color indexed="23"/>
      </left>
      <right style="hair">
        <color indexed="23"/>
      </right>
      <top style="hair">
        <color indexed="23"/>
      </top>
      <bottom style="medium">
        <color indexed="64"/>
      </bottom>
      <diagonal/>
    </border>
    <border>
      <left style="hair">
        <color indexed="23"/>
      </left>
      <right style="thin">
        <color indexed="64"/>
      </right>
      <top style="hair">
        <color indexed="23"/>
      </top>
      <bottom style="medium">
        <color indexed="64"/>
      </bottom>
      <diagonal/>
    </border>
    <border>
      <left/>
      <right style="hair">
        <color indexed="23"/>
      </right>
      <top style="hair">
        <color indexed="23"/>
      </top>
      <bottom style="medium">
        <color indexed="64"/>
      </bottom>
      <diagonal/>
    </border>
    <border>
      <left style="hair">
        <color indexed="23"/>
      </left>
      <right style="medium">
        <color indexed="64"/>
      </right>
      <top style="hair">
        <color indexed="23"/>
      </top>
      <bottom style="hair">
        <color indexed="23"/>
      </bottom>
      <diagonal/>
    </border>
    <border>
      <left style="hair">
        <color indexed="23"/>
      </left>
      <right style="medium">
        <color indexed="64"/>
      </right>
      <top style="hair">
        <color indexed="23"/>
      </top>
      <bottom style="thin">
        <color indexed="64"/>
      </bottom>
      <diagonal/>
    </border>
    <border>
      <left/>
      <right style="medium">
        <color indexed="64"/>
      </right>
      <top style="hair">
        <color indexed="23"/>
      </top>
      <bottom/>
      <diagonal/>
    </border>
    <border>
      <left/>
      <right style="medium">
        <color indexed="64"/>
      </right>
      <top style="hair">
        <color indexed="23"/>
      </top>
      <bottom style="hair">
        <color indexed="23"/>
      </bottom>
      <diagonal/>
    </border>
    <border>
      <left/>
      <right style="medium">
        <color indexed="64"/>
      </right>
      <top style="hair">
        <color indexed="23"/>
      </top>
      <bottom style="hair">
        <color indexed="64"/>
      </bottom>
      <diagonal/>
    </border>
    <border>
      <left/>
      <right style="medium">
        <color indexed="64"/>
      </right>
      <top style="hair">
        <color indexed="64"/>
      </top>
      <bottom style="hair">
        <color indexed="23"/>
      </bottom>
      <diagonal/>
    </border>
    <border>
      <left style="hair">
        <color indexed="23"/>
      </left>
      <right style="medium">
        <color indexed="64"/>
      </right>
      <top style="hair">
        <color indexed="23"/>
      </top>
      <bottom style="medium">
        <color indexed="64"/>
      </bottom>
      <diagonal/>
    </border>
    <border>
      <left/>
      <right style="medium">
        <color indexed="64"/>
      </right>
      <top/>
      <bottom style="thin">
        <color indexed="23"/>
      </bottom>
      <diagonal/>
    </border>
    <border>
      <left/>
      <right style="medium">
        <color indexed="64"/>
      </right>
      <top style="hair">
        <color indexed="23"/>
      </top>
      <bottom style="thin">
        <color indexed="64"/>
      </bottom>
      <diagonal/>
    </border>
    <border>
      <left/>
      <right style="medium">
        <color indexed="64"/>
      </right>
      <top style="thin">
        <color indexed="64"/>
      </top>
      <bottom style="hair">
        <color indexed="23"/>
      </bottom>
      <diagonal/>
    </border>
    <border>
      <left/>
      <right style="medium">
        <color indexed="64"/>
      </right>
      <top/>
      <bottom style="hair">
        <color indexed="23"/>
      </bottom>
      <diagonal/>
    </border>
    <border>
      <left/>
      <right style="medium">
        <color indexed="64"/>
      </right>
      <top style="hair">
        <color indexed="23"/>
      </top>
      <bottom style="medium">
        <color indexed="64"/>
      </bottom>
      <diagonal/>
    </border>
    <border>
      <left style="hair">
        <color indexed="23"/>
      </left>
      <right style="medium">
        <color indexed="64"/>
      </right>
      <top/>
      <bottom/>
      <diagonal/>
    </border>
    <border>
      <left style="hair">
        <color indexed="23"/>
      </left>
      <right style="medium">
        <color indexed="64"/>
      </right>
      <top style="hair">
        <color indexed="23"/>
      </top>
      <bottom/>
      <diagonal/>
    </border>
    <border>
      <left style="hair">
        <color indexed="64"/>
      </left>
      <right style="medium">
        <color indexed="64"/>
      </right>
      <top style="hair">
        <color indexed="23"/>
      </top>
      <bottom style="hair">
        <color indexed="23"/>
      </bottom>
      <diagonal/>
    </border>
    <border>
      <left/>
      <right style="hair">
        <color indexed="64"/>
      </right>
      <top style="hair">
        <color indexed="64"/>
      </top>
      <bottom/>
      <diagonal/>
    </border>
    <border>
      <left style="medium">
        <color indexed="64"/>
      </left>
      <right style="hair">
        <color indexed="64"/>
      </right>
      <top style="hair">
        <color indexed="64"/>
      </top>
      <bottom style="hair">
        <color theme="7" tint="-0.499984740745262"/>
      </bottom>
      <diagonal/>
    </border>
    <border>
      <left style="hair">
        <color indexed="64"/>
      </left>
      <right style="hair">
        <color indexed="64"/>
      </right>
      <top style="hair">
        <color indexed="64"/>
      </top>
      <bottom style="hair">
        <color theme="7" tint="-0.499984740745262"/>
      </bottom>
      <diagonal/>
    </border>
    <border>
      <left style="hair">
        <color theme="7" tint="-0.499984740745262"/>
      </left>
      <right/>
      <top/>
      <bottom style="thin">
        <color indexed="64"/>
      </bottom>
      <diagonal/>
    </border>
    <border>
      <left style="hair">
        <color theme="7" tint="-0.499984740745262"/>
      </left>
      <right/>
      <top/>
      <bottom/>
      <diagonal/>
    </border>
    <border>
      <left style="hair">
        <color theme="7" tint="-0.499984740745262"/>
      </left>
      <right style="hair">
        <color indexed="64"/>
      </right>
      <top/>
      <bottom style="thin">
        <color indexed="64"/>
      </bottom>
      <diagonal/>
    </border>
    <border>
      <left style="hair">
        <color theme="7" tint="-0.499984740745262"/>
      </left>
      <right style="hair">
        <color indexed="64"/>
      </right>
      <top/>
      <bottom/>
      <diagonal/>
    </border>
    <border>
      <left style="hair">
        <color theme="3" tint="0.79998168889431442"/>
      </left>
      <right style="hair">
        <color theme="3" tint="0.79998168889431442"/>
      </right>
      <top style="hair">
        <color theme="3" tint="0.79998168889431442"/>
      </top>
      <bottom/>
      <diagonal/>
    </border>
    <border>
      <left style="hair">
        <color theme="0" tint="-0.249977111117893"/>
      </left>
      <right style="thin">
        <color indexed="64"/>
      </right>
      <top style="hair">
        <color theme="0" tint="-0.249977111117893"/>
      </top>
      <bottom/>
      <diagonal/>
    </border>
    <border>
      <left/>
      <right style="hair">
        <color indexed="64"/>
      </right>
      <top style="medium">
        <color indexed="64"/>
      </top>
      <bottom style="thin">
        <color indexed="64"/>
      </bottom>
      <diagonal/>
    </border>
    <border>
      <left style="medium">
        <color indexed="64"/>
      </left>
      <right style="hair">
        <color indexed="23"/>
      </right>
      <top/>
      <bottom style="medium">
        <color indexed="64"/>
      </bottom>
      <diagonal/>
    </border>
    <border>
      <left style="hair">
        <color indexed="23"/>
      </left>
      <right style="hair">
        <color indexed="23"/>
      </right>
      <top/>
      <bottom style="medium">
        <color indexed="64"/>
      </bottom>
      <diagonal/>
    </border>
    <border>
      <left style="medium">
        <color indexed="64"/>
      </left>
      <right style="dotted">
        <color rgb="FFBFBFBF"/>
      </right>
      <top style="thin">
        <color indexed="64"/>
      </top>
      <bottom style="dotted">
        <color rgb="FFBFBFBF"/>
      </bottom>
      <diagonal/>
    </border>
    <border>
      <left style="medium">
        <color indexed="64"/>
      </left>
      <right style="dotted">
        <color rgb="FFBFBFBF"/>
      </right>
      <top/>
      <bottom style="dotted">
        <color rgb="FFBFBFBF"/>
      </bottom>
      <diagonal/>
    </border>
    <border>
      <left style="medium">
        <color indexed="64"/>
      </left>
      <right style="dotted">
        <color rgb="FFBFBFBF"/>
      </right>
      <top style="dotted">
        <color rgb="FFBFBFBF"/>
      </top>
      <bottom style="dotted">
        <color rgb="FFBFBFBF"/>
      </bottom>
      <diagonal/>
    </border>
    <border>
      <left style="thin">
        <color indexed="64"/>
      </left>
      <right style="medium">
        <color indexed="64"/>
      </right>
      <top style="thin">
        <color indexed="23"/>
      </top>
      <bottom/>
      <diagonal/>
    </border>
    <border>
      <left style="thin">
        <color indexed="64"/>
      </left>
      <right style="medium">
        <color indexed="64"/>
      </right>
      <top style="hair">
        <color indexed="23"/>
      </top>
      <bottom style="hair">
        <color indexed="23"/>
      </bottom>
      <diagonal/>
    </border>
    <border>
      <left style="thin">
        <color indexed="64"/>
      </left>
      <right style="medium">
        <color indexed="64"/>
      </right>
      <top style="hair">
        <color indexed="23"/>
      </top>
      <bottom style="thin">
        <color indexed="64"/>
      </bottom>
      <diagonal/>
    </border>
    <border>
      <left style="thin">
        <color indexed="64"/>
      </left>
      <right style="medium">
        <color indexed="64"/>
      </right>
      <top style="thin">
        <color indexed="64"/>
      </top>
      <bottom style="thin">
        <color indexed="23"/>
      </bottom>
      <diagonal/>
    </border>
  </borders>
  <cellStyleXfs count="60">
    <xf numFmtId="0" fontId="0" fillId="0" borderId="0"/>
    <xf numFmtId="0" fontId="22"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3" borderId="0" applyNumberFormat="0" applyBorder="0" applyAlignment="0" applyProtection="0"/>
    <xf numFmtId="0" fontId="22" fillId="4" borderId="0" applyNumberFormat="0" applyBorder="0" applyAlignment="0" applyProtection="0"/>
    <xf numFmtId="0" fontId="22" fillId="12"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2" fillId="13" borderId="0" applyNumberFormat="0" applyBorder="0" applyAlignment="0" applyProtection="0"/>
    <xf numFmtId="0" fontId="13" fillId="14" borderId="0" applyNumberFormat="0" applyBorder="0" applyAlignment="0" applyProtection="0"/>
    <xf numFmtId="0" fontId="18" fillId="15" borderId="1" applyNumberFormat="0" applyAlignment="0" applyProtection="0"/>
    <xf numFmtId="0" fontId="20" fillId="8" borderId="2" applyNumberFormat="0" applyAlignment="0" applyProtection="0"/>
    <xf numFmtId="43" fontId="5" fillId="0" borderId="0" applyFon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2" fillId="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2" fillId="0" borderId="0" applyNumberFormat="0" applyFill="0" applyBorder="0" applyAlignment="0" applyProtection="0">
      <alignment vertical="top"/>
      <protection locked="0"/>
    </xf>
    <xf numFmtId="0" fontId="16" fillId="13" borderId="1" applyNumberFormat="0" applyAlignment="0" applyProtection="0"/>
    <xf numFmtId="0" fontId="19" fillId="0" borderId="6" applyNumberFormat="0" applyFill="0" applyAlignment="0" applyProtection="0"/>
    <xf numFmtId="0" fontId="14" fillId="19" borderId="0" applyNumberFormat="0" applyBorder="0" applyAlignment="0" applyProtection="0"/>
    <xf numFmtId="0" fontId="7" fillId="6" borderId="7" applyNumberFormat="0" applyFont="0" applyAlignment="0" applyProtection="0"/>
    <xf numFmtId="0" fontId="17" fillId="15" borderId="8" applyNumberFormat="0" applyAlignment="0" applyProtection="0"/>
    <xf numFmtId="0" fontId="8" fillId="0" borderId="0" applyNumberFormat="0" applyFill="0" applyBorder="0" applyAlignment="0" applyProtection="0"/>
    <xf numFmtId="0" fontId="15" fillId="0" borderId="9" applyNumberFormat="0" applyFill="0" applyAlignment="0" applyProtection="0"/>
    <xf numFmtId="0" fontId="21" fillId="0" borderId="0" applyNumberFormat="0" applyFill="0" applyBorder="0" applyAlignment="0" applyProtection="0"/>
    <xf numFmtId="0" fontId="5" fillId="0" borderId="0"/>
    <xf numFmtId="43" fontId="43" fillId="0" borderId="0" applyFont="0" applyFill="0" applyBorder="0" applyAlignment="0" applyProtection="0"/>
    <xf numFmtId="0" fontId="4" fillId="0" borderId="0"/>
    <xf numFmtId="0" fontId="52"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69" fillId="0" borderId="0"/>
    <xf numFmtId="43" fontId="5" fillId="0" borderId="0" applyFont="0" applyFill="0" applyBorder="0" applyAlignment="0" applyProtection="0"/>
    <xf numFmtId="0" fontId="2" fillId="0" borderId="0"/>
    <xf numFmtId="43" fontId="5" fillId="0" borderId="0" applyFont="0" applyFill="0" applyBorder="0" applyAlignment="0" applyProtection="0"/>
    <xf numFmtId="43" fontId="1" fillId="0" borderId="0" applyFont="0" applyFill="0" applyBorder="0" applyAlignment="0" applyProtection="0"/>
    <xf numFmtId="9" fontId="84" fillId="0" borderId="0" applyFont="0" applyFill="0" applyBorder="0" applyAlignment="0" applyProtection="0"/>
  </cellStyleXfs>
  <cellXfs count="1164">
    <xf numFmtId="0" fontId="0" fillId="0" borderId="0" xfId="0"/>
    <xf numFmtId="43" fontId="5" fillId="0" borderId="0" xfId="28" applyFont="1"/>
    <xf numFmtId="0" fontId="5" fillId="0" borderId="0" xfId="0" applyFont="1"/>
    <xf numFmtId="15" fontId="5" fillId="0" borderId="0" xfId="0" applyNumberFormat="1" applyFont="1"/>
    <xf numFmtId="0" fontId="24" fillId="0" borderId="0" xfId="0" applyFont="1"/>
    <xf numFmtId="43" fontId="24" fillId="0" borderId="0" xfId="28" applyFont="1"/>
    <xf numFmtId="165" fontId="24" fillId="0" borderId="0" xfId="0" applyNumberFormat="1" applyFont="1"/>
    <xf numFmtId="15" fontId="25" fillId="0" borderId="0" xfId="0" applyNumberFormat="1" applyFont="1"/>
    <xf numFmtId="0" fontId="24" fillId="0" borderId="0" xfId="0" applyFont="1" applyFill="1"/>
    <xf numFmtId="0" fontId="5" fillId="0" borderId="0" xfId="0" applyFont="1" applyFill="1"/>
    <xf numFmtId="43" fontId="5" fillId="0" borderId="0" xfId="28" applyFont="1" applyBorder="1"/>
    <xf numFmtId="0" fontId="24" fillId="0" borderId="0" xfId="0" applyFont="1" applyFill="1" applyAlignment="1">
      <alignment horizontal="left" vertical="center"/>
    </xf>
    <xf numFmtId="0" fontId="24" fillId="20" borderId="0" xfId="0" applyFont="1" applyFill="1" applyAlignment="1">
      <alignment horizontal="left" vertical="center"/>
    </xf>
    <xf numFmtId="43" fontId="24" fillId="0" borderId="0" xfId="28" applyFont="1" applyFill="1" applyAlignment="1">
      <alignment horizontal="left" vertical="center"/>
    </xf>
    <xf numFmtId="0" fontId="24" fillId="0" borderId="0" xfId="0" applyFont="1" applyAlignment="1">
      <alignment horizontal="left" vertical="center"/>
    </xf>
    <xf numFmtId="43" fontId="24" fillId="0" borderId="0" xfId="28" applyFont="1" applyAlignment="1">
      <alignment horizontal="left" vertical="center"/>
    </xf>
    <xf numFmtId="15" fontId="24" fillId="0" borderId="10" xfId="0" applyNumberFormat="1" applyFont="1" applyBorder="1" applyAlignment="1">
      <alignment horizontal="left" vertical="center"/>
    </xf>
    <xf numFmtId="43" fontId="24" fillId="0" borderId="11" xfId="28" applyFont="1" applyBorder="1" applyAlignment="1">
      <alignment horizontal="left" vertical="center"/>
    </xf>
    <xf numFmtId="43" fontId="28" fillId="0" borderId="0" xfId="28" applyFont="1" applyBorder="1" applyAlignment="1">
      <alignment horizontal="left" vertical="center"/>
    </xf>
    <xf numFmtId="15" fontId="7" fillId="0" borderId="13" xfId="0" applyNumberFormat="1" applyFont="1" applyBorder="1" applyAlignment="1">
      <alignment horizontal="left" vertical="center"/>
    </xf>
    <xf numFmtId="43" fontId="24" fillId="0" borderId="11" xfId="28" applyFont="1" applyBorder="1"/>
    <xf numFmtId="0" fontId="28" fillId="0" borderId="0" xfId="28" applyNumberFormat="1" applyFont="1" applyBorder="1" applyAlignment="1">
      <alignment horizontal="left" vertical="center"/>
    </xf>
    <xf numFmtId="15" fontId="28" fillId="0" borderId="0" xfId="0" applyNumberFormat="1" applyFont="1" applyBorder="1" applyAlignment="1">
      <alignment horizontal="left" vertical="center"/>
    </xf>
    <xf numFmtId="0" fontId="24" fillId="0" borderId="0" xfId="0" applyFont="1" applyFill="1" applyBorder="1" applyAlignment="1">
      <alignment horizontal="left" vertical="center"/>
    </xf>
    <xf numFmtId="4" fontId="28" fillId="0" borderId="0" xfId="0" applyNumberFormat="1" applyFont="1" applyBorder="1" applyAlignment="1">
      <alignment horizontal="left" vertical="center"/>
    </xf>
    <xf numFmtId="0" fontId="24" fillId="0" borderId="0" xfId="0" applyFont="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43" fontId="30" fillId="0" borderId="0" xfId="28" applyFont="1" applyAlignment="1">
      <alignment vertical="center"/>
    </xf>
    <xf numFmtId="43" fontId="31" fillId="0" borderId="0" xfId="28" applyFont="1" applyBorder="1" applyAlignment="1">
      <alignment horizontal="center" vertical="center" wrapText="1"/>
    </xf>
    <xf numFmtId="43" fontId="30" fillId="0" borderId="15" xfId="28" applyFont="1" applyBorder="1" applyAlignment="1" applyProtection="1">
      <alignment horizontal="left" vertical="center"/>
      <protection locked="0"/>
    </xf>
    <xf numFmtId="43" fontId="30" fillId="0" borderId="15" xfId="28" applyFont="1" applyFill="1" applyBorder="1" applyAlignment="1" applyProtection="1">
      <alignment horizontal="left" vertical="center"/>
      <protection locked="0"/>
    </xf>
    <xf numFmtId="2" fontId="30" fillId="0" borderId="15" xfId="28" applyNumberFormat="1" applyFont="1" applyFill="1" applyBorder="1" applyAlignment="1" applyProtection="1">
      <alignment vertical="center"/>
      <protection locked="0" hidden="1"/>
    </xf>
    <xf numFmtId="0" fontId="30" fillId="0" borderId="0" xfId="0" applyFont="1" applyFill="1"/>
    <xf numFmtId="43" fontId="30" fillId="21" borderId="15" xfId="28" applyFont="1" applyFill="1" applyBorder="1" applyAlignment="1" applyProtection="1">
      <alignment horizontal="left" vertical="center"/>
      <protection locked="0"/>
    </xf>
    <xf numFmtId="43" fontId="37" fillId="0" borderId="0" xfId="28" applyFont="1" applyAlignment="1">
      <alignment vertical="center"/>
    </xf>
    <xf numFmtId="15" fontId="30" fillId="0" borderId="13" xfId="0" applyNumberFormat="1" applyFont="1" applyBorder="1" applyAlignment="1" applyProtection="1">
      <alignment horizontal="left" vertical="center"/>
      <protection locked="0"/>
    </xf>
    <xf numFmtId="49" fontId="30" fillId="0" borderId="15" xfId="28" applyNumberFormat="1" applyFont="1" applyBorder="1" applyAlignment="1" applyProtection="1">
      <alignment horizontal="left" vertical="center"/>
      <protection locked="0"/>
    </xf>
    <xf numFmtId="166" fontId="30" fillId="0" borderId="15" xfId="28" applyNumberFormat="1" applyFont="1" applyBorder="1" applyAlignment="1" applyProtection="1">
      <alignment horizontal="left" vertical="center"/>
      <protection locked="0"/>
    </xf>
    <xf numFmtId="43" fontId="30" fillId="0" borderId="24" xfId="28" applyFont="1" applyBorder="1" applyAlignment="1" applyProtection="1">
      <alignment horizontal="left" vertical="center"/>
      <protection hidden="1"/>
    </xf>
    <xf numFmtId="15" fontId="30" fillId="21" borderId="13" xfId="0" applyNumberFormat="1" applyFont="1" applyFill="1" applyBorder="1" applyAlignment="1" applyProtection="1">
      <alignment horizontal="left" vertical="center"/>
      <protection locked="0"/>
    </xf>
    <xf numFmtId="49" fontId="30" fillId="21" borderId="15" xfId="0" applyNumberFormat="1" applyFont="1" applyFill="1" applyBorder="1" applyAlignment="1" applyProtection="1">
      <alignment horizontal="left" vertical="center"/>
      <protection locked="0"/>
    </xf>
    <xf numFmtId="166" fontId="30" fillId="21" borderId="15" xfId="28" applyNumberFormat="1" applyFont="1" applyFill="1" applyBorder="1" applyAlignment="1" applyProtection="1">
      <alignment horizontal="left" vertical="center"/>
      <protection locked="0"/>
    </xf>
    <xf numFmtId="43" fontId="30" fillId="21" borderId="24" xfId="28" applyFont="1" applyFill="1" applyBorder="1" applyAlignment="1" applyProtection="1">
      <alignment horizontal="left" vertical="center"/>
      <protection hidden="1"/>
    </xf>
    <xf numFmtId="0" fontId="30" fillId="0" borderId="0" xfId="0" applyFont="1" applyAlignment="1">
      <alignment horizontal="left" vertical="center"/>
    </xf>
    <xf numFmtId="15" fontId="30" fillId="0" borderId="13" xfId="0" applyNumberFormat="1"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166" fontId="30" fillId="0" borderId="15" xfId="28" applyNumberFormat="1" applyFont="1" applyFill="1" applyBorder="1" applyAlignment="1" applyProtection="1">
      <alignment horizontal="left" vertical="center"/>
      <protection locked="0"/>
    </xf>
    <xf numFmtId="43" fontId="30" fillId="0" borderId="23" xfId="28" applyFont="1" applyFill="1" applyBorder="1" applyAlignment="1" applyProtection="1">
      <alignment horizontal="left" vertical="center"/>
      <protection locked="0"/>
    </xf>
    <xf numFmtId="15" fontId="30" fillId="0" borderId="13" xfId="0" applyNumberFormat="1" applyFont="1" applyBorder="1" applyAlignment="1">
      <alignment horizontal="left" vertical="center"/>
    </xf>
    <xf numFmtId="43" fontId="31" fillId="20" borderId="25" xfId="28" applyFont="1" applyFill="1" applyBorder="1" applyAlignment="1">
      <alignment horizontal="right" vertical="center"/>
    </xf>
    <xf numFmtId="43" fontId="30" fillId="20" borderId="25" xfId="28" applyFont="1" applyFill="1" applyBorder="1" applyAlignment="1">
      <alignment horizontal="left" vertical="center"/>
    </xf>
    <xf numFmtId="43" fontId="30" fillId="20" borderId="18" xfId="28" applyFont="1" applyFill="1" applyBorder="1" applyAlignment="1">
      <alignment horizontal="left" vertical="center"/>
    </xf>
    <xf numFmtId="43" fontId="30" fillId="0" borderId="16" xfId="28" applyFont="1" applyFill="1" applyBorder="1" applyAlignment="1">
      <alignment vertical="center"/>
    </xf>
    <xf numFmtId="43" fontId="30" fillId="0" borderId="0" xfId="28" applyFont="1" applyFill="1" applyAlignment="1">
      <alignment vertical="center"/>
    </xf>
    <xf numFmtId="43" fontId="30" fillId="0" borderId="0" xfId="28" applyFont="1" applyFill="1" applyBorder="1" applyAlignment="1" applyProtection="1">
      <alignment vertical="center"/>
      <protection hidden="1"/>
    </xf>
    <xf numFmtId="43" fontId="37" fillId="0" borderId="0" xfId="28" applyFont="1" applyFill="1" applyAlignment="1">
      <alignment vertical="center"/>
    </xf>
    <xf numFmtId="43" fontId="30" fillId="0" borderId="26" xfId="28" applyFont="1" applyFill="1" applyBorder="1" applyAlignment="1" applyProtection="1">
      <alignment vertical="center"/>
      <protection hidden="1"/>
    </xf>
    <xf numFmtId="43" fontId="30" fillId="0" borderId="27" xfId="28" applyFont="1" applyFill="1" applyBorder="1" applyAlignment="1" applyProtection="1">
      <alignment vertical="center"/>
      <protection hidden="1"/>
    </xf>
    <xf numFmtId="43" fontId="30" fillId="0" borderId="28" xfId="28" applyFont="1" applyFill="1" applyBorder="1" applyAlignment="1" applyProtection="1">
      <alignment vertical="center"/>
      <protection hidden="1"/>
    </xf>
    <xf numFmtId="43" fontId="30" fillId="0" borderId="29" xfId="28" applyFont="1" applyFill="1" applyBorder="1" applyAlignment="1" applyProtection="1">
      <alignment vertical="center"/>
      <protection hidden="1"/>
    </xf>
    <xf numFmtId="43" fontId="30" fillId="0" borderId="0" xfId="28" applyFont="1" applyFill="1" applyBorder="1" applyAlignment="1">
      <alignment vertical="center"/>
    </xf>
    <xf numFmtId="43" fontId="30" fillId="0" borderId="33" xfId="28" applyFont="1" applyFill="1" applyBorder="1" applyAlignment="1" applyProtection="1">
      <alignment vertical="center"/>
      <protection hidden="1"/>
    </xf>
    <xf numFmtId="43" fontId="30" fillId="0" borderId="34" xfId="28" applyFont="1" applyFill="1" applyBorder="1" applyAlignment="1" applyProtection="1">
      <alignment vertical="center"/>
      <protection hidden="1"/>
    </xf>
    <xf numFmtId="43" fontId="30" fillId="0" borderId="26" xfId="28" applyFont="1" applyFill="1" applyBorder="1" applyAlignment="1" applyProtection="1">
      <alignment horizontal="left" vertical="center"/>
      <protection hidden="1"/>
    </xf>
    <xf numFmtId="43" fontId="30" fillId="0" borderId="26" xfId="28" applyFont="1" applyFill="1" applyBorder="1" applyAlignment="1">
      <alignment vertical="center"/>
    </xf>
    <xf numFmtId="43" fontId="31" fillId="0" borderId="38" xfId="28" applyFont="1" applyBorder="1" applyAlignment="1">
      <alignment horizontal="center" vertical="center" wrapText="1"/>
    </xf>
    <xf numFmtId="43" fontId="31" fillId="22" borderId="39" xfId="28" quotePrefix="1" applyFont="1" applyFill="1" applyBorder="1" applyAlignment="1">
      <alignment horizontal="center" vertical="center" wrapText="1"/>
    </xf>
    <xf numFmtId="43" fontId="31" fillId="0" borderId="37" xfId="28" applyFont="1" applyBorder="1" applyAlignment="1">
      <alignment horizontal="center" vertical="center" wrapText="1"/>
    </xf>
    <xf numFmtId="43" fontId="30" fillId="0" borderId="36" xfId="28" applyFont="1" applyBorder="1" applyAlignment="1">
      <alignment vertical="center"/>
    </xf>
    <xf numFmtId="43" fontId="37" fillId="0" borderId="0" xfId="28" applyFont="1" applyFill="1" applyBorder="1" applyAlignment="1">
      <alignment vertical="center"/>
    </xf>
    <xf numFmtId="43" fontId="30" fillId="0" borderId="33" xfId="28" applyFont="1" applyFill="1" applyBorder="1" applyAlignment="1">
      <alignment vertical="center"/>
    </xf>
    <xf numFmtId="43" fontId="31" fillId="0" borderId="42" xfId="28" applyFont="1" applyBorder="1" applyAlignment="1">
      <alignment horizontal="center" vertical="center"/>
    </xf>
    <xf numFmtId="43" fontId="31" fillId="22" borderId="0" xfId="28" quotePrefix="1" applyFont="1" applyFill="1" applyBorder="1" applyAlignment="1">
      <alignment horizontal="center" vertical="center" wrapText="1"/>
    </xf>
    <xf numFmtId="43" fontId="31" fillId="0" borderId="43" xfId="28" applyFont="1" applyBorder="1" applyAlignment="1">
      <alignment horizontal="center" vertical="center"/>
    </xf>
    <xf numFmtId="0" fontId="30" fillId="0" borderId="44"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47" xfId="0" applyFont="1" applyFill="1" applyBorder="1" applyAlignment="1" applyProtection="1">
      <alignment horizontal="center" vertical="center" wrapText="1"/>
      <protection hidden="1"/>
    </xf>
    <xf numFmtId="4" fontId="32" fillId="0" borderId="46" xfId="0" applyNumberFormat="1" applyFont="1" applyFill="1" applyBorder="1" applyAlignment="1">
      <alignment horizontal="center" vertical="center" wrapText="1"/>
    </xf>
    <xf numFmtId="0" fontId="30" fillId="0" borderId="0" xfId="0" applyFont="1" applyFill="1" applyAlignment="1">
      <alignment wrapText="1"/>
    </xf>
    <xf numFmtId="43" fontId="30" fillId="0" borderId="23" xfId="28" applyFont="1" applyFill="1" applyBorder="1" applyAlignment="1">
      <alignment vertical="center"/>
    </xf>
    <xf numFmtId="43" fontId="33" fillId="0" borderId="26" xfId="28" applyFont="1" applyFill="1" applyBorder="1" applyAlignment="1" applyProtection="1">
      <alignment vertical="center"/>
      <protection hidden="1"/>
    </xf>
    <xf numFmtId="43" fontId="32" fillId="0" borderId="32" xfId="28" applyFont="1" applyFill="1" applyBorder="1" applyAlignment="1" applyProtection="1">
      <alignment vertical="center"/>
      <protection hidden="1"/>
    </xf>
    <xf numFmtId="43" fontId="33" fillId="0" borderId="35" xfId="28" applyFont="1" applyFill="1" applyBorder="1" applyAlignment="1" applyProtection="1">
      <alignment vertical="center"/>
      <protection hidden="1"/>
    </xf>
    <xf numFmtId="43" fontId="30" fillId="20" borderId="34" xfId="28" applyFont="1" applyFill="1" applyBorder="1" applyAlignment="1" applyProtection="1">
      <alignment vertical="center"/>
      <protection hidden="1"/>
    </xf>
    <xf numFmtId="43" fontId="30" fillId="20" borderId="26" xfId="28" applyFont="1" applyFill="1" applyBorder="1" applyAlignment="1" applyProtection="1">
      <alignment vertical="center"/>
      <protection hidden="1"/>
    </xf>
    <xf numFmtId="43" fontId="30" fillId="20" borderId="50" xfId="28" applyFont="1" applyFill="1" applyBorder="1" applyAlignment="1" applyProtection="1">
      <alignment vertical="center"/>
      <protection hidden="1"/>
    </xf>
    <xf numFmtId="43" fontId="31" fillId="20" borderId="49" xfId="28" applyFont="1" applyFill="1" applyBorder="1" applyAlignment="1" applyProtection="1">
      <alignment horizontal="right" vertical="center"/>
      <protection hidden="1"/>
    </xf>
    <xf numFmtId="164" fontId="30" fillId="0" borderId="26" xfId="28" applyNumberFormat="1" applyFont="1" applyFill="1" applyBorder="1" applyAlignment="1" applyProtection="1">
      <alignment vertical="center"/>
      <protection hidden="1"/>
    </xf>
    <xf numFmtId="43" fontId="30" fillId="20" borderId="30" xfId="28" applyFont="1" applyFill="1" applyBorder="1" applyAlignment="1" applyProtection="1">
      <alignment vertical="center"/>
      <protection hidden="1"/>
    </xf>
    <xf numFmtId="10" fontId="30" fillId="0" borderId="26" xfId="28" applyNumberFormat="1" applyFont="1" applyFill="1" applyBorder="1" applyAlignment="1" applyProtection="1">
      <alignment vertical="center"/>
      <protection hidden="1"/>
    </xf>
    <xf numFmtId="49" fontId="30" fillId="0" borderId="16" xfId="0" applyNumberFormat="1" applyFont="1" applyFill="1" applyBorder="1" applyAlignment="1" applyProtection="1">
      <alignment horizontal="left" vertical="center"/>
      <protection locked="0"/>
    </xf>
    <xf numFmtId="166" fontId="30" fillId="0" borderId="16" xfId="28" applyNumberFormat="1" applyFont="1" applyFill="1" applyBorder="1" applyAlignment="1" applyProtection="1">
      <alignment horizontal="left" vertical="center"/>
      <protection locked="0"/>
    </xf>
    <xf numFmtId="43" fontId="32" fillId="0" borderId="32" xfId="28" applyFont="1" applyFill="1" applyBorder="1" applyAlignment="1" applyProtection="1">
      <alignment horizontal="left" vertical="center" wrapText="1"/>
      <protection hidden="1"/>
    </xf>
    <xf numFmtId="0" fontId="30" fillId="0" borderId="0" xfId="0" applyFont="1" applyFill="1" applyBorder="1" applyAlignment="1" applyProtection="1">
      <alignment horizontal="right" vertical="center"/>
      <protection hidden="1"/>
    </xf>
    <xf numFmtId="2" fontId="30" fillId="0" borderId="18" xfId="28" applyNumberFormat="1" applyFont="1" applyFill="1" applyBorder="1" applyAlignment="1" applyProtection="1">
      <alignment vertical="center"/>
      <protection locked="0" hidden="1"/>
    </xf>
    <xf numFmtId="4" fontId="32" fillId="0" borderId="46" xfId="0" applyNumberFormat="1" applyFont="1" applyFill="1" applyBorder="1" applyAlignment="1" applyProtection="1">
      <alignment horizontal="center" vertical="center" wrapText="1"/>
      <protection hidden="1"/>
    </xf>
    <xf numFmtId="0" fontId="42" fillId="0" borderId="0" xfId="0" applyFont="1"/>
    <xf numFmtId="43" fontId="42" fillId="0" borderId="0" xfId="28" applyFont="1"/>
    <xf numFmtId="0" fontId="41" fillId="0" borderId="0" xfId="0" applyFont="1" applyAlignment="1">
      <alignment horizontal="right"/>
    </xf>
    <xf numFmtId="168" fontId="42" fillId="0" borderId="0" xfId="0" applyNumberFormat="1" applyFont="1" applyAlignment="1" applyProtection="1">
      <alignment horizontal="center"/>
      <protection locked="0"/>
    </xf>
    <xf numFmtId="0" fontId="41" fillId="0" borderId="0" xfId="0" applyFont="1" applyAlignment="1">
      <alignment horizontal="left"/>
    </xf>
    <xf numFmtId="0" fontId="42" fillId="0" borderId="0" xfId="0" applyFont="1" applyAlignment="1">
      <alignment horizontal="center"/>
    </xf>
    <xf numFmtId="0" fontId="42" fillId="0" borderId="0" xfId="0" applyFont="1" applyAlignment="1" applyProtection="1">
      <alignment horizontal="center"/>
      <protection hidden="1"/>
    </xf>
    <xf numFmtId="0" fontId="42" fillId="0" borderId="0" xfId="0" applyFont="1" applyAlignment="1">
      <alignment horizontal="right"/>
    </xf>
    <xf numFmtId="0" fontId="42" fillId="0" borderId="0" xfId="0" applyFont="1" applyProtection="1">
      <protection hidden="1"/>
    </xf>
    <xf numFmtId="43" fontId="42" fillId="0" borderId="0" xfId="28" applyFont="1" applyProtection="1">
      <protection hidden="1"/>
    </xf>
    <xf numFmtId="15" fontId="42" fillId="0" borderId="0" xfId="0" applyNumberFormat="1" applyFont="1"/>
    <xf numFmtId="0" fontId="41" fillId="0" borderId="0" xfId="0" applyFont="1"/>
    <xf numFmtId="0" fontId="42" fillId="0" borderId="0" xfId="0" applyFont="1" applyProtection="1">
      <protection locked="0"/>
    </xf>
    <xf numFmtId="43" fontId="42" fillId="0" borderId="0" xfId="28" applyFont="1" applyBorder="1" applyProtection="1">
      <protection hidden="1"/>
    </xf>
    <xf numFmtId="43" fontId="42" fillId="0" borderId="56" xfId="28" applyFont="1" applyBorder="1" applyProtection="1">
      <protection hidden="1"/>
    </xf>
    <xf numFmtId="43" fontId="42" fillId="0" borderId="0" xfId="0" applyNumberFormat="1" applyFont="1" applyProtection="1">
      <protection hidden="1"/>
    </xf>
    <xf numFmtId="164" fontId="42" fillId="0" borderId="0" xfId="28" applyNumberFormat="1" applyFont="1" applyProtection="1">
      <protection hidden="1"/>
    </xf>
    <xf numFmtId="165" fontId="42" fillId="0" borderId="0" xfId="28" applyNumberFormat="1" applyFont="1" applyProtection="1">
      <protection hidden="1"/>
    </xf>
    <xf numFmtId="43" fontId="42" fillId="0" borderId="0" xfId="0" applyNumberFormat="1" applyFont="1"/>
    <xf numFmtId="167" fontId="42" fillId="0" borderId="0" xfId="0" applyNumberFormat="1" applyFont="1"/>
    <xf numFmtId="43" fontId="41" fillId="0" borderId="0" xfId="28" applyFont="1" applyAlignment="1" applyProtection="1">
      <alignment horizontal="left" indent="1"/>
      <protection hidden="1"/>
    </xf>
    <xf numFmtId="0" fontId="41" fillId="0" borderId="0" xfId="0" applyFont="1" applyAlignment="1" applyProtection="1">
      <alignment horizontal="left" indent="1"/>
      <protection hidden="1"/>
    </xf>
    <xf numFmtId="43" fontId="30" fillId="0" borderId="34" xfId="28" applyFont="1" applyFill="1" applyBorder="1" applyAlignment="1" applyProtection="1">
      <alignment vertical="center" wrapText="1"/>
      <protection hidden="1"/>
    </xf>
    <xf numFmtId="43" fontId="31" fillId="0" borderId="58" xfId="28" applyFont="1" applyBorder="1" applyAlignment="1">
      <alignment horizontal="center" vertical="center" wrapText="1"/>
    </xf>
    <xf numFmtId="43" fontId="31" fillId="0" borderId="16" xfId="28" applyFont="1" applyBorder="1" applyAlignment="1">
      <alignment horizontal="center" vertical="center" wrapText="1"/>
    </xf>
    <xf numFmtId="10" fontId="30" fillId="0" borderId="40" xfId="28" applyNumberFormat="1" applyFont="1" applyFill="1" applyBorder="1" applyAlignment="1" applyProtection="1">
      <alignment vertical="center"/>
      <protection hidden="1"/>
    </xf>
    <xf numFmtId="165" fontId="30" fillId="0" borderId="0" xfId="28" applyNumberFormat="1" applyFont="1" applyFill="1" applyBorder="1" applyAlignment="1">
      <alignment horizontal="right" vertical="center" wrapText="1" indent="2"/>
    </xf>
    <xf numFmtId="165" fontId="30" fillId="0" borderId="28" xfId="28" applyNumberFormat="1" applyFont="1" applyFill="1" applyBorder="1" applyAlignment="1" applyProtection="1">
      <alignment vertical="center"/>
      <protection hidden="1"/>
    </xf>
    <xf numFmtId="165" fontId="30" fillId="0" borderId="26" xfId="28" applyNumberFormat="1" applyFont="1" applyFill="1" applyBorder="1" applyAlignment="1" applyProtection="1">
      <alignment vertical="center"/>
      <protection hidden="1"/>
    </xf>
    <xf numFmtId="43" fontId="30" fillId="23" borderId="34" xfId="28" applyFont="1" applyFill="1" applyBorder="1" applyAlignment="1">
      <alignment vertical="center" wrapText="1"/>
    </xf>
    <xf numFmtId="43" fontId="30" fillId="0" borderId="15" xfId="28" applyFont="1" applyFill="1" applyBorder="1" applyAlignment="1" applyProtection="1">
      <alignment horizontal="right" vertical="center" indent="1"/>
      <protection hidden="1"/>
    </xf>
    <xf numFmtId="43" fontId="30" fillId="23" borderId="34" xfId="28" applyFont="1" applyFill="1" applyBorder="1" applyAlignment="1" applyProtection="1">
      <alignment vertical="center"/>
      <protection hidden="1"/>
    </xf>
    <xf numFmtId="39" fontId="30" fillId="0" borderId="15" xfId="28" applyNumberFormat="1" applyFont="1" applyFill="1" applyBorder="1" applyAlignment="1" applyProtection="1">
      <alignment horizontal="left" vertical="center" indent="1"/>
      <protection locked="0" hidden="1"/>
    </xf>
    <xf numFmtId="43" fontId="30" fillId="0" borderId="34" xfId="28" applyFont="1" applyFill="1" applyBorder="1" applyAlignment="1" applyProtection="1">
      <alignment horizontal="right" vertical="center" wrapText="1"/>
      <protection hidden="1"/>
    </xf>
    <xf numFmtId="43" fontId="36" fillId="0" borderId="0" xfId="28" applyFont="1" applyFill="1" applyBorder="1" applyAlignment="1" applyProtection="1">
      <alignment vertical="center"/>
      <protection hidden="1"/>
    </xf>
    <xf numFmtId="0" fontId="0" fillId="0" borderId="0" xfId="0" applyAlignment="1">
      <alignment horizontal="left" indent="1"/>
    </xf>
    <xf numFmtId="174" fontId="0" fillId="0" borderId="0" xfId="0" applyNumberFormat="1"/>
    <xf numFmtId="0" fontId="0" fillId="0" borderId="0" xfId="0" applyBorder="1"/>
    <xf numFmtId="0" fontId="0" fillId="0" borderId="0" xfId="0" applyBorder="1" applyAlignment="1">
      <alignment vertical="center"/>
    </xf>
    <xf numFmtId="0" fontId="0" fillId="0" borderId="0" xfId="0" applyBorder="1" applyAlignment="1">
      <alignment horizontal="left" vertical="center" indent="1"/>
    </xf>
    <xf numFmtId="0" fontId="0" fillId="0" borderId="36" xfId="0" applyBorder="1" applyAlignment="1">
      <alignment horizontal="center" vertical="center"/>
    </xf>
    <xf numFmtId="0" fontId="0" fillId="0" borderId="47" xfId="0" applyBorder="1" applyAlignment="1">
      <alignment horizontal="center" vertical="center" wrapText="1"/>
    </xf>
    <xf numFmtId="0" fontId="0" fillId="0" borderId="47" xfId="0" applyBorder="1" applyAlignment="1">
      <alignment horizontal="center" vertical="center"/>
    </xf>
    <xf numFmtId="0" fontId="45" fillId="0" borderId="111" xfId="0" applyFont="1" applyBorder="1" applyAlignment="1">
      <alignment vertical="center" wrapText="1"/>
    </xf>
    <xf numFmtId="0" fontId="6" fillId="0" borderId="0" xfId="0" applyFont="1"/>
    <xf numFmtId="178" fontId="0" fillId="0" borderId="112" xfId="0" applyNumberFormat="1" applyBorder="1" applyAlignment="1">
      <alignment horizontal="left" vertical="center" indent="1"/>
    </xf>
    <xf numFmtId="0" fontId="0" fillId="0" borderId="111" xfId="0" applyBorder="1" applyAlignment="1">
      <alignment horizontal="left" vertical="center" indent="1"/>
    </xf>
    <xf numFmtId="0" fontId="0" fillId="0" borderId="112" xfId="0" applyBorder="1" applyAlignment="1">
      <alignment horizontal="left" vertical="center" indent="1"/>
    </xf>
    <xf numFmtId="4" fontId="0" fillId="0" borderId="0" xfId="0" applyNumberFormat="1"/>
    <xf numFmtId="178" fontId="0" fillId="0" borderId="113" xfId="0" applyNumberFormat="1" applyBorder="1" applyAlignment="1">
      <alignment horizontal="left" vertical="center" indent="1"/>
    </xf>
    <xf numFmtId="0" fontId="0" fillId="0" borderId="113" xfId="0" applyBorder="1" applyAlignment="1">
      <alignment horizontal="left" vertical="center" indent="1"/>
    </xf>
    <xf numFmtId="0" fontId="0" fillId="0" borderId="113" xfId="0" applyBorder="1" applyAlignment="1">
      <alignment vertical="center"/>
    </xf>
    <xf numFmtId="178" fontId="5" fillId="0" borderId="0" xfId="0" applyNumberFormat="1" applyFont="1" applyBorder="1" applyAlignment="1">
      <alignment horizontal="left" vertical="center" indent="1"/>
    </xf>
    <xf numFmtId="2" fontId="0" fillId="0" borderId="0" xfId="0" applyNumberFormat="1"/>
    <xf numFmtId="178" fontId="0" fillId="0" borderId="0" xfId="0" applyNumberFormat="1" applyBorder="1" applyAlignment="1">
      <alignment horizontal="left" vertical="center" indent="1"/>
    </xf>
    <xf numFmtId="0" fontId="0" fillId="0" borderId="0" xfId="0" applyBorder="1" applyAlignment="1">
      <alignment horizontal="right" vertical="center" indent="1"/>
    </xf>
    <xf numFmtId="0" fontId="5" fillId="0" borderId="36" xfId="0" applyFont="1" applyBorder="1" applyAlignment="1">
      <alignment horizontal="center" vertical="center"/>
    </xf>
    <xf numFmtId="0" fontId="5" fillId="0" borderId="112" xfId="0" applyFont="1" applyBorder="1" applyAlignment="1">
      <alignment horizontal="left" vertical="center" wrapText="1" indent="1"/>
    </xf>
    <xf numFmtId="4" fontId="5" fillId="0" borderId="112" xfId="0" applyNumberFormat="1" applyFont="1" applyBorder="1" applyAlignment="1">
      <alignment horizontal="right" vertical="center"/>
    </xf>
    <xf numFmtId="0" fontId="5" fillId="0" borderId="112" xfId="0" applyFont="1" applyBorder="1" applyAlignment="1">
      <alignment horizontal="left" vertical="center" indent="1"/>
    </xf>
    <xf numFmtId="0" fontId="27" fillId="0" borderId="112" xfId="0" applyFont="1" applyBorder="1" applyAlignment="1">
      <alignment horizontal="left" vertical="center" wrapText="1" indent="1"/>
    </xf>
    <xf numFmtId="4" fontId="5" fillId="0" borderId="113" xfId="0" applyNumberFormat="1" applyFont="1" applyBorder="1" applyAlignment="1">
      <alignment horizontal="right" vertical="center"/>
    </xf>
    <xf numFmtId="174" fontId="46" fillId="0" borderId="47" xfId="0" applyNumberFormat="1" applyFont="1" applyBorder="1" applyAlignment="1">
      <alignment horizontal="right" vertical="center"/>
    </xf>
    <xf numFmtId="4" fontId="5" fillId="0" borderId="0" xfId="0" applyNumberFormat="1" applyFont="1" applyBorder="1" applyAlignment="1">
      <alignment horizontal="right" vertical="center"/>
    </xf>
    <xf numFmtId="0" fontId="5" fillId="0" borderId="0" xfId="0" applyFont="1" applyBorder="1"/>
    <xf numFmtId="0" fontId="7" fillId="0" borderId="11" xfId="0" applyFont="1" applyBorder="1" applyAlignment="1">
      <alignment horizontal="left" vertical="center" wrapText="1"/>
    </xf>
    <xf numFmtId="43" fontId="47" fillId="0" borderId="26" xfId="28" applyFont="1" applyFill="1" applyBorder="1" applyAlignment="1" applyProtection="1">
      <alignment horizontal="left" vertical="center"/>
      <protection hidden="1"/>
    </xf>
    <xf numFmtId="43" fontId="31" fillId="23" borderId="39" xfId="28" applyFont="1" applyFill="1" applyBorder="1" applyAlignment="1">
      <alignment horizontal="center" vertical="center" wrapText="1"/>
    </xf>
    <xf numFmtId="43" fontId="30" fillId="23" borderId="34" xfId="28" applyFont="1" applyFill="1" applyBorder="1" applyAlignment="1">
      <alignment vertical="center"/>
    </xf>
    <xf numFmtId="43" fontId="30" fillId="23" borderId="41" xfId="28" applyFont="1" applyFill="1" applyBorder="1" applyAlignment="1">
      <alignment vertical="center"/>
    </xf>
    <xf numFmtId="43" fontId="30" fillId="0" borderId="0" xfId="28" applyFont="1" applyBorder="1" applyAlignment="1">
      <alignment vertical="center"/>
    </xf>
    <xf numFmtId="43" fontId="30" fillId="0" borderId="15" xfId="28" applyFont="1" applyFill="1" applyBorder="1" applyAlignment="1" applyProtection="1">
      <alignment horizontal="left" vertical="center"/>
      <protection locked="0"/>
    </xf>
    <xf numFmtId="43" fontId="30" fillId="0" borderId="18" xfId="28" applyFont="1" applyFill="1" applyBorder="1" applyAlignment="1" applyProtection="1">
      <alignment vertical="center"/>
      <protection hidden="1"/>
    </xf>
    <xf numFmtId="15" fontId="30" fillId="0" borderId="17" xfId="0" applyNumberFormat="1" applyFont="1" applyFill="1" applyBorder="1" applyAlignment="1" applyProtection="1">
      <alignment vertical="center"/>
      <protection hidden="1"/>
    </xf>
    <xf numFmtId="15" fontId="30" fillId="0" borderId="0" xfId="0" applyNumberFormat="1" applyFont="1" applyFill="1" applyBorder="1" applyAlignment="1" applyProtection="1">
      <alignment vertical="center"/>
      <protection hidden="1"/>
    </xf>
    <xf numFmtId="165" fontId="30" fillId="0" borderId="0" xfId="28" applyNumberFormat="1" applyFont="1" applyFill="1" applyBorder="1" applyAlignment="1" applyProtection="1">
      <alignment vertical="center"/>
      <protection hidden="1"/>
    </xf>
    <xf numFmtId="0" fontId="30" fillId="0" borderId="0" xfId="0" applyFont="1" applyFill="1" applyBorder="1"/>
    <xf numFmtId="0" fontId="30" fillId="0" borderId="0" xfId="0" applyFont="1" applyFill="1" applyBorder="1" applyAlignment="1">
      <alignment horizontal="right"/>
    </xf>
    <xf numFmtId="43" fontId="30" fillId="25" borderId="15" xfId="28" applyFont="1" applyFill="1" applyBorder="1" applyAlignment="1" applyProtection="1">
      <alignment horizontal="right" vertical="center" indent="1"/>
      <protection hidden="1"/>
    </xf>
    <xf numFmtId="2" fontId="30" fillId="25" borderId="15" xfId="28" applyNumberFormat="1" applyFont="1" applyFill="1" applyBorder="1" applyAlignment="1" applyProtection="1">
      <alignment vertical="center"/>
      <protection locked="0" hidden="1"/>
    </xf>
    <xf numFmtId="39" fontId="30" fillId="25" borderId="15" xfId="28" applyNumberFormat="1" applyFont="1" applyFill="1" applyBorder="1" applyAlignment="1" applyProtection="1">
      <alignment horizontal="left" vertical="center" indent="1"/>
      <protection locked="0" hidden="1"/>
    </xf>
    <xf numFmtId="43" fontId="30" fillId="0" borderId="15" xfId="28" applyFont="1" applyFill="1" applyBorder="1" applyAlignment="1" applyProtection="1">
      <alignment horizontal="left" vertical="center"/>
      <protection locked="0"/>
    </xf>
    <xf numFmtId="15" fontId="0" fillId="0" borderId="0" xfId="0" applyNumberFormat="1"/>
    <xf numFmtId="43" fontId="30" fillId="0" borderId="15" xfId="28" applyFont="1" applyFill="1" applyBorder="1" applyAlignment="1" applyProtection="1">
      <alignment horizontal="left" vertical="center"/>
      <protection locked="0"/>
    </xf>
    <xf numFmtId="43" fontId="30" fillId="0" borderId="55" xfId="28" applyFont="1" applyFill="1" applyBorder="1" applyAlignment="1">
      <alignment vertical="center"/>
    </xf>
    <xf numFmtId="43" fontId="31" fillId="0" borderId="58" xfId="28" quotePrefix="1" applyFont="1" applyFill="1" applyBorder="1" applyAlignment="1">
      <alignment horizontal="center" vertical="center" wrapText="1"/>
    </xf>
    <xf numFmtId="43" fontId="31" fillId="0" borderId="16" xfId="28" quotePrefix="1" applyFont="1" applyFill="1" applyBorder="1" applyAlignment="1">
      <alignment horizontal="center" vertical="center" wrapText="1"/>
    </xf>
    <xf numFmtId="43" fontId="30" fillId="0" borderId="107" xfId="28" applyFont="1" applyBorder="1" applyAlignment="1">
      <alignment vertical="center"/>
    </xf>
    <xf numFmtId="43" fontId="30" fillId="0" borderId="16" xfId="28" applyFont="1" applyFill="1" applyBorder="1" applyAlignment="1" applyProtection="1">
      <alignment vertical="center"/>
      <protection hidden="1"/>
    </xf>
    <xf numFmtId="43" fontId="30" fillId="0" borderId="69" xfId="28" applyFont="1" applyFill="1" applyBorder="1" applyAlignment="1" applyProtection="1">
      <alignment vertical="center"/>
      <protection hidden="1"/>
    </xf>
    <xf numFmtId="43" fontId="30" fillId="0" borderId="115" xfId="28" applyFont="1" applyFill="1" applyBorder="1" applyAlignment="1" applyProtection="1">
      <alignment vertical="center"/>
      <protection hidden="1"/>
    </xf>
    <xf numFmtId="43" fontId="30" fillId="20" borderId="40" xfId="28" quotePrefix="1" applyFont="1" applyFill="1" applyBorder="1" applyAlignment="1" applyProtection="1">
      <alignment vertical="center"/>
      <protection hidden="1"/>
    </xf>
    <xf numFmtId="43" fontId="30" fillId="0" borderId="23" xfId="28" applyFont="1" applyFill="1" applyBorder="1" applyAlignment="1">
      <alignment horizontal="right" vertical="center"/>
    </xf>
    <xf numFmtId="43" fontId="37" fillId="0" borderId="0" xfId="28" applyFont="1" applyFill="1" applyBorder="1" applyAlignment="1" applyProtection="1">
      <alignment vertical="center"/>
      <protection locked="0"/>
    </xf>
    <xf numFmtId="43" fontId="37" fillId="0" borderId="0" xfId="28" applyFont="1" applyFill="1" applyAlignment="1" applyProtection="1">
      <alignment vertical="center"/>
      <protection locked="0"/>
    </xf>
    <xf numFmtId="43" fontId="30" fillId="0" borderId="15" xfId="28" applyFont="1" applyFill="1" applyBorder="1" applyAlignment="1" applyProtection="1">
      <alignment horizontal="left" vertical="center"/>
      <protection locked="0"/>
    </xf>
    <xf numFmtId="43" fontId="5" fillId="0" borderId="14" xfId="28" applyFont="1" applyBorder="1" applyAlignment="1">
      <alignment horizontal="left" vertical="center"/>
    </xf>
    <xf numFmtId="43" fontId="5" fillId="0" borderId="12" xfId="28" applyFont="1" applyBorder="1" applyAlignment="1">
      <alignment horizontal="left" vertical="center"/>
    </xf>
    <xf numFmtId="43" fontId="30" fillId="0" borderId="0" xfId="28" applyFont="1" applyFill="1"/>
    <xf numFmtId="43" fontId="32" fillId="0" borderId="47" xfId="28" applyFont="1" applyFill="1" applyBorder="1" applyAlignment="1" applyProtection="1">
      <alignment horizontal="center" vertical="center" wrapText="1"/>
      <protection hidden="1"/>
    </xf>
    <xf numFmtId="43" fontId="30" fillId="0" borderId="0" xfId="28" applyFont="1" applyFill="1" applyBorder="1"/>
    <xf numFmtId="43" fontId="32" fillId="0" borderId="46" xfId="28" applyFont="1" applyFill="1" applyBorder="1" applyAlignment="1">
      <alignment horizontal="center" vertical="center" wrapText="1"/>
    </xf>
    <xf numFmtId="43" fontId="30" fillId="0" borderId="15" xfId="28" applyFont="1" applyFill="1" applyBorder="1" applyAlignment="1" applyProtection="1">
      <alignment vertical="center"/>
      <protection hidden="1"/>
    </xf>
    <xf numFmtId="43" fontId="30" fillId="25" borderId="15" xfId="28" applyFont="1" applyFill="1" applyBorder="1" applyAlignment="1" applyProtection="1">
      <alignment vertical="center"/>
      <protection hidden="1"/>
    </xf>
    <xf numFmtId="0" fontId="30" fillId="0" borderId="0" xfId="0" applyFont="1" applyFill="1" applyAlignment="1">
      <alignment horizontal="left" indent="1"/>
    </xf>
    <xf numFmtId="0" fontId="30" fillId="0" borderId="18" xfId="0" applyFont="1" applyFill="1" applyBorder="1" applyAlignment="1" applyProtection="1">
      <alignment horizontal="left" vertical="center" indent="1"/>
      <protection hidden="1"/>
    </xf>
    <xf numFmtId="0" fontId="30" fillId="0" borderId="0" xfId="0" applyFont="1" applyFill="1" applyBorder="1" applyAlignment="1" applyProtection="1">
      <alignment horizontal="left" vertical="center" indent="1"/>
      <protection hidden="1"/>
    </xf>
    <xf numFmtId="0" fontId="30" fillId="0" borderId="0" xfId="0" applyFont="1" applyFill="1" applyBorder="1" applyAlignment="1">
      <alignment horizontal="left" indent="1"/>
    </xf>
    <xf numFmtId="43" fontId="30" fillId="0" borderId="0" xfId="28" applyFont="1" applyFill="1" applyAlignment="1">
      <alignment vertical="center"/>
    </xf>
    <xf numFmtId="0" fontId="49" fillId="0" borderId="0" xfId="0" applyFont="1"/>
    <xf numFmtId="43" fontId="49" fillId="0" borderId="0" xfId="47" applyFont="1"/>
    <xf numFmtId="43" fontId="49" fillId="0" borderId="56" xfId="47" applyFont="1" applyBorder="1"/>
    <xf numFmtId="0" fontId="49" fillId="0" borderId="0" xfId="0" applyFont="1" applyAlignment="1">
      <alignment wrapText="1"/>
    </xf>
    <xf numFmtId="166" fontId="49" fillId="0" borderId="0" xfId="47" applyNumberFormat="1" applyFont="1"/>
    <xf numFmtId="43" fontId="50" fillId="0" borderId="0" xfId="47" applyFont="1" applyAlignment="1">
      <alignment horizontal="center" vertical="center"/>
    </xf>
    <xf numFmtId="43" fontId="49" fillId="0" borderId="0" xfId="47" applyFont="1" applyAlignment="1">
      <alignment vertical="center"/>
    </xf>
    <xf numFmtId="166" fontId="49" fillId="0" borderId="0" xfId="47" applyNumberFormat="1" applyFont="1" applyAlignment="1">
      <alignment vertical="center"/>
    </xf>
    <xf numFmtId="43" fontId="30" fillId="0" borderId="132" xfId="28" applyFont="1" applyFill="1" applyBorder="1" applyAlignment="1" applyProtection="1">
      <alignment vertical="center"/>
      <protection hidden="1"/>
    </xf>
    <xf numFmtId="20" fontId="0" fillId="0" borderId="0" xfId="0" applyNumberFormat="1"/>
    <xf numFmtId="43" fontId="30" fillId="0" borderId="0" xfId="0" applyNumberFormat="1" applyFont="1" applyFill="1" applyAlignment="1">
      <alignment wrapText="1"/>
    </xf>
    <xf numFmtId="43" fontId="30" fillId="0" borderId="0" xfId="0" applyNumberFormat="1" applyFont="1" applyFill="1"/>
    <xf numFmtId="43" fontId="30" fillId="0" borderId="0" xfId="28" applyFont="1" applyFill="1" applyAlignment="1">
      <alignment vertical="center"/>
    </xf>
    <xf numFmtId="4" fontId="0" fillId="0" borderId="0" xfId="0" applyNumberFormat="1" applyFill="1"/>
    <xf numFmtId="43" fontId="30" fillId="23" borderId="34" xfId="28" quotePrefix="1" applyFont="1" applyFill="1" applyBorder="1" applyAlignment="1">
      <alignment vertical="center"/>
    </xf>
    <xf numFmtId="43" fontId="30" fillId="0" borderId="0" xfId="28" applyFont="1" applyAlignment="1"/>
    <xf numFmtId="43" fontId="30" fillId="0" borderId="26" xfId="28" applyFont="1" applyFill="1" applyBorder="1" applyAlignment="1" applyProtection="1">
      <protection hidden="1"/>
    </xf>
    <xf numFmtId="43" fontId="30" fillId="23" borderId="34" xfId="28" applyFont="1" applyFill="1" applyBorder="1" applyAlignment="1" applyProtection="1">
      <protection hidden="1"/>
    </xf>
    <xf numFmtId="43" fontId="30" fillId="0" borderId="26" xfId="28" applyFont="1" applyFill="1" applyBorder="1" applyAlignment="1"/>
    <xf numFmtId="43" fontId="30" fillId="0" borderId="41" xfId="28" applyFont="1" applyFill="1" applyBorder="1" applyAlignment="1">
      <alignment vertical="center"/>
    </xf>
    <xf numFmtId="43" fontId="31" fillId="0" borderId="0" xfId="28" applyFont="1" applyFill="1" applyAlignment="1">
      <alignment vertical="center"/>
    </xf>
    <xf numFmtId="43" fontId="30" fillId="26" borderId="33" xfId="28" applyFont="1" applyFill="1" applyBorder="1" applyAlignment="1" applyProtection="1">
      <alignment vertical="center"/>
      <protection locked="0"/>
    </xf>
    <xf numFmtId="43" fontId="51" fillId="23" borderId="0" xfId="28" applyFont="1" applyFill="1" applyBorder="1" applyAlignment="1">
      <alignment horizontal="center" vertical="center" wrapText="1"/>
    </xf>
    <xf numFmtId="0" fontId="53" fillId="0" borderId="0" xfId="0" applyFont="1" applyFill="1" applyAlignment="1">
      <alignment horizontal="center" vertical="center"/>
    </xf>
    <xf numFmtId="0" fontId="53" fillId="0" borderId="0" xfId="0" applyFont="1" applyFill="1" applyAlignment="1">
      <alignment horizontal="center" vertical="center" wrapText="1"/>
    </xf>
    <xf numFmtId="176" fontId="30" fillId="0" borderId="109" xfId="50" applyNumberFormat="1" applyFont="1" applyBorder="1" applyAlignment="1">
      <alignment horizontal="right" vertical="center" indent="1"/>
    </xf>
    <xf numFmtId="165" fontId="30" fillId="0" borderId="109" xfId="50" applyNumberFormat="1" applyFont="1" applyBorder="1" applyAlignment="1">
      <alignment horizontal="right" vertical="center" indent="1"/>
    </xf>
    <xf numFmtId="166" fontId="30" fillId="0" borderId="0" xfId="50" applyNumberFormat="1" applyFont="1" applyFill="1" applyBorder="1" applyAlignment="1">
      <alignment vertical="center"/>
    </xf>
    <xf numFmtId="165" fontId="30" fillId="0" borderId="36" xfId="50" applyNumberFormat="1" applyFont="1" applyBorder="1" applyAlignment="1">
      <alignment horizontal="center" vertical="center"/>
    </xf>
    <xf numFmtId="176" fontId="30" fillId="0" borderId="36" xfId="50" applyNumberFormat="1" applyFont="1" applyBorder="1" applyAlignment="1">
      <alignment horizontal="right" vertical="center" indent="1"/>
    </xf>
    <xf numFmtId="165" fontId="30" fillId="0" borderId="36" xfId="50" applyNumberFormat="1" applyFont="1" applyBorder="1" applyAlignment="1">
      <alignment horizontal="right" vertical="center" indent="1"/>
    </xf>
    <xf numFmtId="43" fontId="30" fillId="0" borderId="0" xfId="50" applyFont="1" applyAlignment="1">
      <alignment vertical="center"/>
    </xf>
    <xf numFmtId="166" fontId="30" fillId="0" borderId="0" xfId="50" applyNumberFormat="1" applyFont="1"/>
    <xf numFmtId="166" fontId="5" fillId="0" borderId="0" xfId="50" applyNumberFormat="1" applyBorder="1" applyAlignment="1">
      <alignment vertical="center"/>
    </xf>
    <xf numFmtId="0" fontId="49" fillId="0" borderId="46" xfId="0" applyFont="1" applyFill="1" applyBorder="1" applyAlignment="1">
      <alignment horizontal="center" vertical="center" textRotation="180" wrapText="1"/>
    </xf>
    <xf numFmtId="43" fontId="30" fillId="0" borderId="116" xfId="28" applyFont="1" applyFill="1" applyBorder="1" applyAlignment="1" applyProtection="1">
      <alignment horizontal="center" vertical="center"/>
      <protection hidden="1"/>
    </xf>
    <xf numFmtId="43" fontId="30" fillId="0" borderId="0" xfId="28" applyFont="1" applyFill="1" applyAlignment="1">
      <alignment vertical="center"/>
    </xf>
    <xf numFmtId="0" fontId="49" fillId="25" borderId="16" xfId="37" applyFont="1" applyFill="1" applyBorder="1" applyAlignment="1" applyProtection="1">
      <alignment horizontal="left" vertical="center" indent="1"/>
      <protection locked="0"/>
    </xf>
    <xf numFmtId="0" fontId="49" fillId="0" borderId="16" xfId="37" applyFont="1" applyFill="1" applyBorder="1" applyAlignment="1" applyProtection="1">
      <alignment horizontal="left" vertical="center" indent="1"/>
      <protection locked="0"/>
    </xf>
    <xf numFmtId="43" fontId="30" fillId="0" borderId="0" xfId="28" applyFont="1" applyFill="1" applyAlignment="1">
      <alignment vertical="center"/>
    </xf>
    <xf numFmtId="43" fontId="30" fillId="0" borderId="0" xfId="28" applyFont="1" applyFill="1" applyAlignment="1">
      <alignment vertical="center"/>
    </xf>
    <xf numFmtId="0" fontId="54" fillId="0" borderId="0" xfId="0" applyFont="1" applyAlignment="1">
      <alignment horizontal="left" vertical="center" wrapText="1"/>
    </xf>
    <xf numFmtId="43" fontId="55" fillId="0" borderId="0" xfId="47" applyFont="1" applyAlignment="1">
      <alignment vertical="center"/>
    </xf>
    <xf numFmtId="43" fontId="54" fillId="0" borderId="0" xfId="0" applyNumberFormat="1" applyFont="1" applyAlignment="1">
      <alignment vertical="center"/>
    </xf>
    <xf numFmtId="166" fontId="55" fillId="0" borderId="0" xfId="47" applyNumberFormat="1" applyFont="1" applyAlignment="1">
      <alignment vertical="center"/>
    </xf>
    <xf numFmtId="164" fontId="55" fillId="0" borderId="0" xfId="47" applyNumberFormat="1" applyFont="1" applyAlignment="1">
      <alignment vertical="center"/>
    </xf>
    <xf numFmtId="180" fontId="55" fillId="0" borderId="0" xfId="47" applyNumberFormat="1" applyFont="1" applyAlignment="1">
      <alignment vertical="center"/>
    </xf>
    <xf numFmtId="43" fontId="55" fillId="0" borderId="0" xfId="47" applyNumberFormat="1" applyFont="1" applyAlignment="1">
      <alignment vertical="center"/>
    </xf>
    <xf numFmtId="179" fontId="55" fillId="0" borderId="0" xfId="47" applyNumberFormat="1" applyFont="1" applyAlignment="1">
      <alignment vertical="center"/>
    </xf>
    <xf numFmtId="43" fontId="30" fillId="0" borderId="34" xfId="28" applyFont="1" applyFill="1" applyBorder="1" applyAlignment="1">
      <alignment horizontal="right" vertical="center"/>
    </xf>
    <xf numFmtId="10" fontId="30" fillId="0" borderId="68" xfId="28" applyNumberFormat="1" applyFont="1" applyFill="1" applyBorder="1" applyAlignment="1" applyProtection="1">
      <alignment vertical="center"/>
      <protection hidden="1"/>
    </xf>
    <xf numFmtId="43" fontId="57" fillId="0" borderId="0" xfId="28" applyFont="1" applyAlignment="1">
      <alignment vertical="center"/>
    </xf>
    <xf numFmtId="43" fontId="57" fillId="0" borderId="0" xfId="28" applyFont="1" applyFill="1" applyAlignment="1">
      <alignment vertical="center"/>
    </xf>
    <xf numFmtId="165" fontId="57" fillId="0" borderId="0" xfId="28" applyNumberFormat="1" applyFont="1" applyFill="1" applyAlignment="1">
      <alignment vertical="center"/>
    </xf>
    <xf numFmtId="43" fontId="58" fillId="0" borderId="0" xfId="28" applyFont="1" applyFill="1" applyAlignment="1">
      <alignment vertical="center"/>
    </xf>
    <xf numFmtId="43" fontId="57" fillId="0" borderId="0" xfId="28" applyFont="1" applyFill="1" applyAlignment="1" applyProtection="1">
      <alignment vertical="center"/>
      <protection locked="0"/>
    </xf>
    <xf numFmtId="164" fontId="30" fillId="0" borderId="26" xfId="28" applyNumberFormat="1" applyFont="1" applyFill="1" applyBorder="1" applyAlignment="1" applyProtection="1">
      <alignment horizontal="left" vertical="center" indent="3"/>
      <protection hidden="1"/>
    </xf>
    <xf numFmtId="43" fontId="30" fillId="0" borderId="33" xfId="28" applyFont="1" applyFill="1" applyBorder="1" applyAlignment="1">
      <alignment horizontal="left" vertical="center" indent="3"/>
    </xf>
    <xf numFmtId="0" fontId="60" fillId="0" borderId="0" xfId="0" applyFont="1"/>
    <xf numFmtId="0" fontId="61" fillId="0" borderId="0" xfId="0" applyFont="1" applyAlignment="1"/>
    <xf numFmtId="0" fontId="60"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horizontal="right" vertical="center" indent="1"/>
    </xf>
    <xf numFmtId="170" fontId="60" fillId="0" borderId="0" xfId="0" applyNumberFormat="1" applyFont="1" applyAlignment="1"/>
    <xf numFmtId="170" fontId="63" fillId="0" borderId="0" xfId="0" applyNumberFormat="1" applyFont="1"/>
    <xf numFmtId="169" fontId="64" fillId="0" borderId="0" xfId="0" applyNumberFormat="1" applyFont="1"/>
    <xf numFmtId="0" fontId="65" fillId="0" borderId="0" xfId="0" quotePrefix="1" applyFont="1" applyAlignment="1">
      <alignment horizontal="left" vertical="center" wrapText="1"/>
    </xf>
    <xf numFmtId="0" fontId="60" fillId="0" borderId="0" xfId="0" applyFont="1" applyAlignment="1"/>
    <xf numFmtId="0" fontId="66" fillId="0" borderId="0" xfId="37" applyFont="1" applyAlignment="1" applyProtection="1">
      <alignment vertical="center"/>
    </xf>
    <xf numFmtId="0" fontId="60" fillId="0" borderId="0" xfId="0" applyFont="1" applyAlignment="1">
      <alignment horizontal="right" vertical="center" indent="1"/>
    </xf>
    <xf numFmtId="0" fontId="60" fillId="0" borderId="0" xfId="0" quotePrefix="1" applyFont="1" applyAlignment="1">
      <alignment horizontal="left" vertical="center"/>
    </xf>
    <xf numFmtId="0" fontId="67" fillId="0" borderId="0" xfId="37" applyFont="1" applyAlignment="1" applyProtection="1">
      <alignment vertical="center"/>
    </xf>
    <xf numFmtId="0" fontId="60" fillId="0" borderId="0" xfId="0" applyFont="1" applyAlignment="1">
      <alignment horizontal="right" vertical="center"/>
    </xf>
    <xf numFmtId="0" fontId="60" fillId="0" borderId="0" xfId="0" quotePrefix="1" applyFont="1" applyAlignment="1">
      <alignment horizontal="right" vertical="center" indent="1"/>
    </xf>
    <xf numFmtId="0" fontId="60" fillId="0" borderId="0" xfId="0" applyFont="1" applyAlignment="1">
      <alignment horizontal="left" vertical="center" indent="2"/>
    </xf>
    <xf numFmtId="0" fontId="60" fillId="0" borderId="0" xfId="0" applyFont="1" applyAlignment="1">
      <alignment horizontal="left" vertical="center"/>
    </xf>
    <xf numFmtId="0" fontId="60" fillId="0" borderId="0" xfId="0" applyFont="1" applyAlignment="1">
      <alignment horizontal="left" vertical="center" indent="3"/>
    </xf>
    <xf numFmtId="43" fontId="30" fillId="0" borderId="0" xfId="28" applyFont="1" applyFill="1" applyAlignment="1">
      <alignment vertical="center"/>
    </xf>
    <xf numFmtId="43" fontId="31" fillId="0" borderId="139" xfId="28" applyFont="1" applyFill="1" applyBorder="1" applyAlignment="1">
      <alignment vertical="center"/>
    </xf>
    <xf numFmtId="43" fontId="30" fillId="0" borderId="0" xfId="28" quotePrefix="1" applyFont="1" applyFill="1" applyAlignment="1">
      <alignment vertical="center"/>
    </xf>
    <xf numFmtId="0" fontId="49" fillId="25" borderId="16" xfId="37" quotePrefix="1" applyFont="1" applyFill="1" applyBorder="1" applyAlignment="1" applyProtection="1">
      <alignment horizontal="left" vertical="center" indent="1"/>
      <protection locked="0"/>
    </xf>
    <xf numFmtId="43" fontId="30" fillId="0" borderId="0" xfId="28" applyFont="1" applyFill="1" applyAlignment="1">
      <alignment vertical="center"/>
    </xf>
    <xf numFmtId="43" fontId="30" fillId="0" borderId="40" xfId="28" quotePrefix="1" applyFont="1" applyFill="1" applyBorder="1" applyAlignment="1" applyProtection="1">
      <alignment vertical="center"/>
      <protection hidden="1"/>
    </xf>
    <xf numFmtId="43" fontId="30" fillId="0" borderId="50" xfId="28" applyFont="1" applyFill="1" applyBorder="1" applyAlignment="1" applyProtection="1">
      <alignment vertical="center"/>
      <protection hidden="1"/>
    </xf>
    <xf numFmtId="43" fontId="30" fillId="0" borderId="36" xfId="50" applyFont="1" applyBorder="1" applyAlignment="1">
      <alignment vertical="center"/>
    </xf>
    <xf numFmtId="43" fontId="30" fillId="0" borderId="108" xfId="50" applyFont="1" applyBorder="1" applyAlignment="1">
      <alignment vertical="center"/>
    </xf>
    <xf numFmtId="43" fontId="30" fillId="0" borderId="109" xfId="50" applyFont="1" applyBorder="1" applyAlignment="1">
      <alignment vertical="center"/>
    </xf>
    <xf numFmtId="166" fontId="30" fillId="0" borderId="36" xfId="50" applyNumberFormat="1" applyFont="1" applyBorder="1"/>
    <xf numFmtId="166" fontId="30" fillId="0" borderId="107" xfId="50" applyNumberFormat="1" applyFont="1" applyBorder="1"/>
    <xf numFmtId="176" fontId="30" fillId="0" borderId="108" xfId="50" applyNumberFormat="1" applyFont="1" applyBorder="1" applyAlignment="1">
      <alignment horizontal="left" vertical="center" wrapText="1" indent="1"/>
    </xf>
    <xf numFmtId="43" fontId="11" fillId="25" borderId="28" xfId="28" applyFont="1" applyFill="1" applyBorder="1" applyAlignment="1" applyProtection="1">
      <alignment horizontal="right" vertical="center"/>
      <protection hidden="1"/>
    </xf>
    <xf numFmtId="0" fontId="49" fillId="0" borderId="16" xfId="37" quotePrefix="1" applyFont="1" applyFill="1" applyBorder="1" applyAlignment="1" applyProtection="1">
      <alignment horizontal="left" vertical="center" indent="1"/>
      <protection locked="0"/>
    </xf>
    <xf numFmtId="0" fontId="5" fillId="0" borderId="0" xfId="53" applyFont="1" applyAlignment="1">
      <alignment vertical="center"/>
    </xf>
    <xf numFmtId="0" fontId="5" fillId="0" borderId="0" xfId="53" applyFont="1" applyAlignment="1">
      <alignment horizontal="center" vertical="center"/>
    </xf>
    <xf numFmtId="0" fontId="6" fillId="0" borderId="0" xfId="53" applyFont="1" applyAlignment="1">
      <alignment vertical="center"/>
    </xf>
    <xf numFmtId="4" fontId="5" fillId="0" borderId="0" xfId="28" applyNumberFormat="1" applyFont="1" applyAlignment="1">
      <alignment vertical="center"/>
    </xf>
    <xf numFmtId="0" fontId="6" fillId="0" borderId="144" xfId="53" applyFont="1" applyBorder="1" applyAlignment="1">
      <alignment horizontal="center" vertical="center" wrapText="1"/>
    </xf>
    <xf numFmtId="0" fontId="6" fillId="0" borderId="144" xfId="53" applyFont="1" applyBorder="1" applyAlignment="1">
      <alignment horizontal="left" vertical="center" indent="1"/>
    </xf>
    <xf numFmtId="0" fontId="5" fillId="0" borderId="144" xfId="53" applyFont="1" applyBorder="1" applyAlignment="1">
      <alignment vertical="center"/>
    </xf>
    <xf numFmtId="0" fontId="6" fillId="0" borderId="144" xfId="53" applyFont="1" applyBorder="1" applyAlignment="1">
      <alignment vertical="center"/>
    </xf>
    <xf numFmtId="0" fontId="6" fillId="0" borderId="0" xfId="53" applyFont="1" applyBorder="1" applyAlignment="1">
      <alignment vertical="center"/>
    </xf>
    <xf numFmtId="0" fontId="5" fillId="0" borderId="0" xfId="53" applyFont="1" applyFill="1" applyAlignment="1">
      <alignment vertical="center"/>
    </xf>
    <xf numFmtId="15" fontId="5" fillId="0" borderId="144" xfId="53" applyNumberFormat="1" applyFont="1" applyFill="1" applyBorder="1" applyAlignment="1">
      <alignment horizontal="center" vertical="center"/>
    </xf>
    <xf numFmtId="0" fontId="5" fillId="0" borderId="144" xfId="53" applyFont="1" applyFill="1" applyBorder="1" applyAlignment="1">
      <alignment vertical="center"/>
    </xf>
    <xf numFmtId="43" fontId="5" fillId="0" borderId="144" xfId="28" applyFont="1" applyFill="1" applyBorder="1" applyAlignment="1">
      <alignment vertical="center"/>
    </xf>
    <xf numFmtId="43" fontId="5" fillId="0" borderId="0" xfId="28" applyFont="1" applyFill="1" applyBorder="1" applyAlignment="1">
      <alignment vertical="center"/>
    </xf>
    <xf numFmtId="43" fontId="5" fillId="0" borderId="0" xfId="53" applyNumberFormat="1" applyFont="1" applyFill="1" applyAlignment="1">
      <alignment vertical="center"/>
    </xf>
    <xf numFmtId="4" fontId="5" fillId="0" borderId="0" xfId="28" applyNumberFormat="1" applyFont="1" applyFill="1" applyAlignment="1">
      <alignment vertical="center"/>
    </xf>
    <xf numFmtId="0" fontId="5" fillId="0" borderId="0" xfId="53" applyFont="1" applyFill="1"/>
    <xf numFmtId="43" fontId="6" fillId="0" borderId="0" xfId="28" applyFont="1" applyFill="1" applyBorder="1" applyAlignment="1">
      <alignment vertical="center"/>
    </xf>
    <xf numFmtId="0" fontId="6" fillId="0" borderId="0" xfId="53" applyFont="1" applyFill="1" applyAlignment="1">
      <alignment vertical="center"/>
    </xf>
    <xf numFmtId="0" fontId="69" fillId="0" borderId="0" xfId="54" applyFill="1" applyBorder="1" applyAlignment="1">
      <alignment horizontal="left" vertical="center"/>
    </xf>
    <xf numFmtId="0" fontId="69" fillId="0" borderId="0" xfId="54" applyFill="1" applyBorder="1" applyAlignment="1">
      <alignment horizontal="left" vertical="top" wrapText="1"/>
    </xf>
    <xf numFmtId="43" fontId="29" fillId="0" borderId="0" xfId="53" applyNumberFormat="1" applyFont="1" applyFill="1" applyAlignment="1">
      <alignment vertical="center"/>
    </xf>
    <xf numFmtId="0" fontId="70" fillId="0" borderId="0" xfId="54" applyFont="1" applyFill="1" applyBorder="1" applyAlignment="1">
      <alignment horizontal="left" vertical="center"/>
    </xf>
    <xf numFmtId="43" fontId="6" fillId="0" borderId="0" xfId="53" applyNumberFormat="1" applyFont="1" applyFill="1" applyAlignment="1">
      <alignment vertical="center"/>
    </xf>
    <xf numFmtId="0" fontId="5" fillId="0" borderId="0" xfId="53" applyNumberFormat="1" applyFont="1" applyFill="1" applyBorder="1"/>
    <xf numFmtId="43" fontId="5" fillId="0" borderId="0" xfId="53" applyNumberFormat="1" applyFont="1" applyFill="1"/>
    <xf numFmtId="4" fontId="5" fillId="0" borderId="0" xfId="28" applyNumberFormat="1" applyFont="1" applyFill="1"/>
    <xf numFmtId="0" fontId="6" fillId="0" borderId="0" xfId="53" applyFont="1" applyFill="1"/>
    <xf numFmtId="43" fontId="5" fillId="29" borderId="144" xfId="28" applyFont="1" applyFill="1" applyBorder="1" applyAlignment="1">
      <alignment vertical="center"/>
    </xf>
    <xf numFmtId="0" fontId="5" fillId="0" borderId="0" xfId="53" applyFont="1" applyFill="1" applyAlignment="1">
      <alignment horizontal="center"/>
    </xf>
    <xf numFmtId="0" fontId="5" fillId="0" borderId="0" xfId="53" applyFont="1"/>
    <xf numFmtId="0" fontId="6" fillId="0" borderId="0" xfId="53" applyFont="1"/>
    <xf numFmtId="4" fontId="5" fillId="0" borderId="0" xfId="28" applyNumberFormat="1" applyFont="1"/>
    <xf numFmtId="0" fontId="5" fillId="0" borderId="0" xfId="53" applyFont="1" applyAlignment="1">
      <alignment horizontal="center"/>
    </xf>
    <xf numFmtId="43" fontId="69" fillId="0" borderId="0" xfId="54" applyNumberFormat="1" applyFill="1" applyBorder="1" applyAlignment="1">
      <alignment horizontal="left" vertical="top" wrapText="1"/>
    </xf>
    <xf numFmtId="0" fontId="5" fillId="0" borderId="0" xfId="53" applyFont="1" applyAlignment="1" applyProtection="1">
      <alignment vertical="center"/>
      <protection hidden="1"/>
    </xf>
    <xf numFmtId="43" fontId="11" fillId="25" borderId="51" xfId="28" applyFont="1" applyFill="1" applyBorder="1" applyAlignment="1">
      <alignment horizontal="center" vertical="center" wrapText="1"/>
    </xf>
    <xf numFmtId="43" fontId="56" fillId="25" borderId="0" xfId="28" applyFont="1" applyFill="1" applyBorder="1" applyAlignment="1">
      <alignment horizontal="center" vertical="center" wrapText="1"/>
    </xf>
    <xf numFmtId="43" fontId="56" fillId="25" borderId="26" xfId="28" applyFont="1" applyFill="1" applyBorder="1" applyAlignment="1" applyProtection="1">
      <alignment vertical="center"/>
      <protection locked="0"/>
    </xf>
    <xf numFmtId="43" fontId="30" fillId="25" borderId="36" xfId="28" applyFont="1" applyFill="1" applyBorder="1" applyAlignment="1">
      <alignment horizontal="right" vertical="center"/>
    </xf>
    <xf numFmtId="43" fontId="11" fillId="25" borderId="28" xfId="28" applyFont="1" applyFill="1" applyBorder="1" applyAlignment="1" applyProtection="1">
      <alignment vertical="center"/>
      <protection hidden="1"/>
    </xf>
    <xf numFmtId="43" fontId="11" fillId="25" borderId="114" xfId="28" applyFont="1" applyFill="1" applyBorder="1" applyAlignment="1" applyProtection="1">
      <alignment vertical="center"/>
      <protection hidden="1"/>
    </xf>
    <xf numFmtId="43" fontId="11" fillId="25" borderId="52" xfId="28" applyFont="1" applyFill="1" applyBorder="1" applyAlignment="1" applyProtection="1">
      <alignment horizontal="center" vertical="center"/>
      <protection hidden="1"/>
    </xf>
    <xf numFmtId="43" fontId="11" fillId="25" borderId="30" xfId="28" applyFont="1" applyFill="1" applyBorder="1" applyAlignment="1" applyProtection="1">
      <alignment vertical="center"/>
      <protection hidden="1"/>
    </xf>
    <xf numFmtId="43" fontId="11" fillId="25" borderId="26" xfId="28" applyFont="1" applyFill="1" applyBorder="1" applyAlignment="1" applyProtection="1">
      <alignment vertical="center"/>
      <protection hidden="1"/>
    </xf>
    <xf numFmtId="43" fontId="11" fillId="25" borderId="31" xfId="28" applyFont="1" applyFill="1" applyBorder="1" applyAlignment="1" applyProtection="1">
      <alignment vertical="center"/>
      <protection hidden="1"/>
    </xf>
    <xf numFmtId="43" fontId="11" fillId="25" borderId="32" xfId="28" applyFont="1" applyFill="1" applyBorder="1" applyAlignment="1" applyProtection="1">
      <alignment vertical="center"/>
      <protection hidden="1"/>
    </xf>
    <xf numFmtId="43" fontId="11" fillId="25" borderId="48" xfId="28" applyFont="1" applyFill="1" applyBorder="1" applyAlignment="1" applyProtection="1">
      <alignment vertical="center"/>
      <protection hidden="1"/>
    </xf>
    <xf numFmtId="43" fontId="11" fillId="25" borderId="49" xfId="28" applyFont="1" applyFill="1" applyBorder="1" applyAlignment="1" applyProtection="1">
      <alignment vertical="center"/>
      <protection hidden="1"/>
    </xf>
    <xf numFmtId="43" fontId="35" fillId="25" borderId="26" xfId="28" applyFont="1" applyFill="1" applyBorder="1" applyAlignment="1" applyProtection="1">
      <alignment vertical="center"/>
      <protection hidden="1"/>
    </xf>
    <xf numFmtId="43" fontId="36" fillId="25" borderId="26" xfId="28" applyFont="1" applyFill="1" applyBorder="1" applyAlignment="1" applyProtection="1">
      <protection hidden="1"/>
    </xf>
    <xf numFmtId="43" fontId="71" fillId="30" borderId="26" xfId="55" applyFont="1" applyFill="1" applyBorder="1" applyAlignment="1" applyProtection="1">
      <alignment vertical="center"/>
      <protection hidden="1"/>
    </xf>
    <xf numFmtId="43" fontId="72" fillId="30" borderId="26" xfId="55" applyFont="1" applyFill="1" applyBorder="1" applyAlignment="1" applyProtection="1">
      <alignment vertical="center"/>
      <protection hidden="1"/>
    </xf>
    <xf numFmtId="43" fontId="30" fillId="0" borderId="15" xfId="28" applyFont="1" applyFill="1" applyBorder="1" applyAlignment="1" applyProtection="1">
      <alignment horizontal="left" vertical="center"/>
      <protection locked="0"/>
    </xf>
    <xf numFmtId="43" fontId="30" fillId="0" borderId="15" xfId="28" applyNumberFormat="1" applyFont="1" applyFill="1" applyBorder="1" applyAlignment="1" applyProtection="1">
      <alignment horizontal="left" vertical="center"/>
      <protection locked="0"/>
    </xf>
    <xf numFmtId="15" fontId="30" fillId="28" borderId="13" xfId="0" applyNumberFormat="1" applyFont="1" applyFill="1" applyBorder="1" applyAlignment="1" applyProtection="1">
      <alignment horizontal="left" vertical="center"/>
      <protection locked="0"/>
    </xf>
    <xf numFmtId="49" fontId="30" fillId="28" borderId="15" xfId="28" applyNumberFormat="1" applyFont="1" applyFill="1" applyBorder="1" applyAlignment="1" applyProtection="1">
      <alignment horizontal="left" vertical="center"/>
      <protection locked="0"/>
    </xf>
    <xf numFmtId="166" fontId="30" fillId="28" borderId="15" xfId="28" applyNumberFormat="1" applyFont="1" applyFill="1" applyBorder="1" applyAlignment="1" applyProtection="1">
      <alignment horizontal="left" vertical="center"/>
      <protection locked="0"/>
    </xf>
    <xf numFmtId="43" fontId="30" fillId="28" borderId="24" xfId="28" applyFont="1" applyFill="1" applyBorder="1" applyAlignment="1" applyProtection="1">
      <alignment horizontal="left" vertical="center"/>
      <protection hidden="1"/>
    </xf>
    <xf numFmtId="49" fontId="30" fillId="28" borderId="15" xfId="0" applyNumberFormat="1" applyFont="1" applyFill="1" applyBorder="1" applyAlignment="1" applyProtection="1">
      <alignment horizontal="left" vertical="center"/>
      <protection locked="0"/>
    </xf>
    <xf numFmtId="0" fontId="30" fillId="28" borderId="0" xfId="0" applyFont="1" applyFill="1" applyAlignment="1">
      <alignment horizontal="left" vertical="center"/>
    </xf>
    <xf numFmtId="43" fontId="30" fillId="28" borderId="15" xfId="28" applyNumberFormat="1" applyFont="1" applyFill="1" applyBorder="1" applyAlignment="1" applyProtection="1">
      <alignment horizontal="left" vertical="center"/>
      <protection locked="0"/>
    </xf>
    <xf numFmtId="43" fontId="30" fillId="25" borderId="0" xfId="28" applyFont="1" applyFill="1" applyBorder="1" applyAlignment="1" applyProtection="1">
      <alignment vertical="center"/>
      <protection locked="0" hidden="1"/>
    </xf>
    <xf numFmtId="43" fontId="5" fillId="0" borderId="0" xfId="0" applyNumberFormat="1" applyFont="1" applyAlignment="1">
      <alignment vertical="center"/>
    </xf>
    <xf numFmtId="43" fontId="30" fillId="0" borderId="0" xfId="28" applyFont="1" applyFill="1" applyAlignment="1">
      <alignment vertical="center"/>
    </xf>
    <xf numFmtId="43" fontId="32" fillId="25" borderId="26" xfId="28" applyFont="1" applyFill="1" applyBorder="1" applyAlignment="1" applyProtection="1">
      <alignment vertical="center"/>
      <protection hidden="1"/>
    </xf>
    <xf numFmtId="43" fontId="30" fillId="0" borderId="15" xfId="28" applyFont="1" applyFill="1" applyBorder="1" applyAlignment="1" applyProtection="1">
      <alignment horizontal="left" vertical="center"/>
      <protection locked="0"/>
    </xf>
    <xf numFmtId="43" fontId="7" fillId="0" borderId="65" xfId="0" applyNumberFormat="1" applyFont="1" applyBorder="1" applyAlignment="1">
      <alignment horizontal="left" vertical="center" wrapText="1"/>
    </xf>
    <xf numFmtId="0" fontId="30" fillId="0" borderId="0" xfId="0" applyFont="1" applyFill="1" applyAlignment="1">
      <alignment horizontal="left" vertical="center"/>
    </xf>
    <xf numFmtId="43" fontId="32" fillId="0" borderId="15" xfId="28" applyFont="1" applyFill="1" applyBorder="1" applyAlignment="1" applyProtection="1">
      <alignment horizontal="center" vertical="center" wrapText="1"/>
      <protection hidden="1"/>
    </xf>
    <xf numFmtId="0" fontId="32" fillId="0" borderId="15" xfId="0" applyFont="1" applyFill="1" applyBorder="1" applyAlignment="1" applyProtection="1">
      <alignment horizontal="center" vertical="center" wrapText="1"/>
      <protection hidden="1"/>
    </xf>
    <xf numFmtId="43" fontId="32" fillId="0" borderId="15" xfId="28" applyFont="1" applyFill="1" applyBorder="1" applyAlignment="1">
      <alignment horizontal="center" vertical="center" wrapText="1"/>
    </xf>
    <xf numFmtId="43" fontId="30" fillId="0" borderId="0" xfId="28" applyFont="1" applyFill="1" applyBorder="1" applyAlignment="1" applyProtection="1">
      <alignment vertical="center"/>
      <protection locked="0" hidden="1"/>
    </xf>
    <xf numFmtId="0" fontId="53" fillId="25" borderId="0" xfId="0" applyFont="1" applyFill="1" applyAlignment="1">
      <alignment horizontal="center" vertical="center" wrapText="1"/>
    </xf>
    <xf numFmtId="15" fontId="49" fillId="25" borderId="15" xfId="37" applyNumberFormat="1" applyFont="1" applyFill="1" applyBorder="1" applyAlignment="1" applyProtection="1">
      <alignment horizontal="left" vertical="center" indent="1"/>
      <protection locked="0"/>
    </xf>
    <xf numFmtId="39" fontId="30" fillId="25" borderId="15" xfId="28" applyNumberFormat="1" applyFont="1" applyFill="1" applyBorder="1" applyAlignment="1" applyProtection="1">
      <alignment horizontal="left" vertical="center" indent="1"/>
      <protection hidden="1"/>
    </xf>
    <xf numFmtId="0" fontId="74" fillId="0" borderId="0" xfId="0" applyFont="1" applyAlignment="1">
      <alignment vertical="center"/>
    </xf>
    <xf numFmtId="0" fontId="49" fillId="0" borderId="0" xfId="46" applyFont="1"/>
    <xf numFmtId="0" fontId="49" fillId="0" borderId="0" xfId="46" applyFont="1" applyAlignment="1">
      <alignment horizontal="left" indent="1"/>
    </xf>
    <xf numFmtId="43" fontId="49" fillId="0" borderId="0" xfId="28" applyFont="1"/>
    <xf numFmtId="43" fontId="49" fillId="0" borderId="0" xfId="28" applyFont="1" applyFill="1"/>
    <xf numFmtId="0" fontId="75" fillId="0" borderId="70" xfId="46" applyFont="1" applyBorder="1" applyAlignment="1">
      <alignment horizontal="center" vertical="center" wrapText="1"/>
    </xf>
    <xf numFmtId="0" fontId="75" fillId="0" borderId="71" xfId="46" applyFont="1" applyBorder="1" applyAlignment="1">
      <alignment horizontal="center" vertical="center" wrapText="1"/>
    </xf>
    <xf numFmtId="43" fontId="75" fillId="23" borderId="72" xfId="28" applyFont="1" applyFill="1" applyBorder="1" applyAlignment="1">
      <alignment horizontal="center" vertical="center" wrapText="1"/>
    </xf>
    <xf numFmtId="43" fontId="75" fillId="0" borderId="71" xfId="28" applyFont="1" applyBorder="1" applyAlignment="1">
      <alignment horizontal="center" vertical="center" wrapText="1"/>
    </xf>
    <xf numFmtId="0" fontId="75" fillId="0" borderId="73" xfId="46" applyFont="1" applyBorder="1" applyAlignment="1">
      <alignment horizontal="center" vertical="center" wrapText="1"/>
    </xf>
    <xf numFmtId="0" fontId="49" fillId="0" borderId="0" xfId="46" applyFont="1" applyAlignment="1">
      <alignment horizontal="left" wrapText="1" indent="1"/>
    </xf>
    <xf numFmtId="0" fontId="49" fillId="0" borderId="0" xfId="46" applyFont="1" applyAlignment="1">
      <alignment horizontal="left" vertical="center" wrapText="1" indent="1"/>
    </xf>
    <xf numFmtId="0" fontId="49" fillId="0" borderId="0" xfId="46" applyFont="1" applyAlignment="1">
      <alignment vertical="center"/>
    </xf>
    <xf numFmtId="0" fontId="49" fillId="0" borderId="74" xfId="46" applyFont="1" applyBorder="1" applyAlignment="1">
      <alignment vertical="center"/>
    </xf>
    <xf numFmtId="0" fontId="75" fillId="0" borderId="75" xfId="46" applyFont="1" applyBorder="1" applyAlignment="1">
      <alignment vertical="center"/>
    </xf>
    <xf numFmtId="0" fontId="49" fillId="0" borderId="75" xfId="46" applyFont="1" applyBorder="1" applyAlignment="1">
      <alignment vertical="center"/>
    </xf>
    <xf numFmtId="172" fontId="49" fillId="0" borderId="36" xfId="46" applyNumberFormat="1" applyFont="1" applyBorder="1" applyAlignment="1">
      <alignment horizontal="left" vertical="center" indent="1"/>
    </xf>
    <xf numFmtId="0" fontId="49" fillId="0" borderId="75" xfId="46" applyFont="1" applyBorder="1" applyAlignment="1">
      <alignment horizontal="left" vertical="center" indent="1"/>
    </xf>
    <xf numFmtId="43" fontId="49" fillId="23" borderId="75" xfId="28" applyFont="1" applyFill="1" applyBorder="1" applyAlignment="1">
      <alignment vertical="center"/>
    </xf>
    <xf numFmtId="43" fontId="49" fillId="0" borderId="75" xfId="28" applyFont="1" applyFill="1" applyBorder="1" applyAlignment="1">
      <alignment vertical="center"/>
    </xf>
    <xf numFmtId="0" fontId="49" fillId="0" borderId="76" xfId="46" applyFont="1" applyBorder="1" applyAlignment="1">
      <alignment vertical="center"/>
    </xf>
    <xf numFmtId="0" fontId="49" fillId="0" borderId="0" xfId="46" applyFont="1" applyAlignment="1">
      <alignment vertical="center" wrapText="1"/>
    </xf>
    <xf numFmtId="173" fontId="49" fillId="0" borderId="0" xfId="46" applyNumberFormat="1" applyFont="1" applyAlignment="1">
      <alignment vertical="center"/>
    </xf>
    <xf numFmtId="174" fontId="49" fillId="0" borderId="0" xfId="46" applyNumberFormat="1" applyFont="1" applyAlignment="1">
      <alignment vertical="center" wrapText="1"/>
    </xf>
    <xf numFmtId="0" fontId="49" fillId="0" borderId="77" xfId="46" applyFont="1" applyBorder="1" applyAlignment="1">
      <alignment vertical="center"/>
    </xf>
    <xf numFmtId="174" fontId="49" fillId="0" borderId="0" xfId="46" applyNumberFormat="1" applyFont="1" applyAlignment="1">
      <alignment vertical="center"/>
    </xf>
    <xf numFmtId="0" fontId="49" fillId="0" borderId="78" xfId="46" applyFont="1" applyBorder="1"/>
    <xf numFmtId="0" fontId="49" fillId="0" borderId="79" xfId="46" applyFont="1" applyBorder="1"/>
    <xf numFmtId="172" fontId="49" fillId="0" borderId="0" xfId="46" applyNumberFormat="1" applyFont="1" applyBorder="1" applyAlignment="1">
      <alignment horizontal="left" indent="1"/>
    </xf>
    <xf numFmtId="0" fontId="49" fillId="0" borderId="79" xfId="46" applyFont="1" applyBorder="1" applyAlignment="1">
      <alignment horizontal="left" indent="1"/>
    </xf>
    <xf numFmtId="43" fontId="49" fillId="23" borderId="79" xfId="28" applyFont="1" applyFill="1" applyBorder="1"/>
    <xf numFmtId="43" fontId="49" fillId="0" borderId="79" xfId="28" applyFont="1" applyFill="1" applyBorder="1"/>
    <xf numFmtId="0" fontId="49" fillId="0" borderId="14" xfId="46" applyFont="1" applyBorder="1"/>
    <xf numFmtId="0" fontId="49" fillId="0" borderId="0" xfId="46" applyFont="1" applyAlignment="1">
      <alignment wrapText="1"/>
    </xf>
    <xf numFmtId="173" fontId="49" fillId="0" borderId="0" xfId="46" applyNumberFormat="1" applyFont="1"/>
    <xf numFmtId="174" fontId="49" fillId="0" borderId="0" xfId="46" applyNumberFormat="1" applyFont="1"/>
    <xf numFmtId="0" fontId="75" fillId="0" borderId="81" xfId="46" applyFont="1" applyBorder="1"/>
    <xf numFmtId="172" fontId="49" fillId="0" borderId="53" xfId="46" applyNumberFormat="1" applyFont="1" applyBorder="1" applyAlignment="1">
      <alignment horizontal="left" indent="1"/>
    </xf>
    <xf numFmtId="0" fontId="49" fillId="0" borderId="81" xfId="46" applyFont="1" applyBorder="1" applyAlignment="1">
      <alignment horizontal="left" indent="1"/>
    </xf>
    <xf numFmtId="43" fontId="49" fillId="23" borderId="81" xfId="28" applyFont="1" applyFill="1" applyBorder="1"/>
    <xf numFmtId="43" fontId="49" fillId="0" borderId="81" xfId="28" applyFont="1" applyFill="1" applyBorder="1"/>
    <xf numFmtId="174" fontId="49" fillId="0" borderId="0" xfId="46" applyNumberFormat="1" applyFont="1" applyAlignment="1">
      <alignment horizontal="center"/>
    </xf>
    <xf numFmtId="0" fontId="49" fillId="0" borderId="75" xfId="46" applyFont="1" applyBorder="1" applyAlignment="1">
      <alignment wrapText="1"/>
    </xf>
    <xf numFmtId="172" fontId="49" fillId="0" borderId="36" xfId="46" applyNumberFormat="1" applyFont="1" applyBorder="1" applyAlignment="1">
      <alignment horizontal="left" indent="1"/>
    </xf>
    <xf numFmtId="0" fontId="49" fillId="0" borderId="75" xfId="46" applyFont="1" applyBorder="1" applyAlignment="1">
      <alignment horizontal="left" indent="1"/>
    </xf>
    <xf numFmtId="43" fontId="49" fillId="23" borderId="75" xfId="28" applyFont="1" applyFill="1" applyBorder="1" applyAlignment="1">
      <alignment horizontal="left"/>
    </xf>
    <xf numFmtId="43" fontId="49" fillId="0" borderId="75" xfId="28" applyFont="1" applyFill="1" applyBorder="1" applyAlignment="1">
      <alignment horizontal="left"/>
    </xf>
    <xf numFmtId="174" fontId="76" fillId="0" borderId="0" xfId="46" applyNumberFormat="1" applyFont="1"/>
    <xf numFmtId="0" fontId="49" fillId="0" borderId="77" xfId="46" applyFont="1" applyBorder="1"/>
    <xf numFmtId="0" fontId="49" fillId="0" borderId="80" xfId="46" applyFont="1" applyBorder="1"/>
    <xf numFmtId="0" fontId="49" fillId="0" borderId="81" xfId="46" applyFont="1" applyBorder="1"/>
    <xf numFmtId="0" fontId="49" fillId="0" borderId="0" xfId="46" applyFont="1" applyBorder="1"/>
    <xf numFmtId="0" fontId="49" fillId="0" borderId="85" xfId="46" applyFont="1" applyBorder="1" applyAlignment="1">
      <alignment horizontal="left" vertical="center"/>
    </xf>
    <xf numFmtId="0" fontId="49" fillId="0" borderId="86" xfId="46" applyFont="1" applyBorder="1" applyAlignment="1">
      <alignment horizontal="left" vertical="center"/>
    </xf>
    <xf numFmtId="172" fontId="49" fillId="0" borderId="87" xfId="46" applyNumberFormat="1" applyFont="1" applyBorder="1" applyAlignment="1">
      <alignment horizontal="left" vertical="center" indent="1"/>
    </xf>
    <xf numFmtId="0" fontId="49" fillId="0" borderId="86" xfId="46" applyFont="1" applyBorder="1" applyAlignment="1">
      <alignment horizontal="left" vertical="center" indent="1"/>
    </xf>
    <xf numFmtId="43" fontId="49" fillId="23" borderId="86" xfId="28" applyFont="1" applyFill="1" applyBorder="1" applyAlignment="1">
      <alignment horizontal="left" vertical="center"/>
    </xf>
    <xf numFmtId="43" fontId="49" fillId="0" borderId="86" xfId="28" applyFont="1" applyFill="1" applyBorder="1" applyAlignment="1">
      <alignment horizontal="left" vertical="center"/>
    </xf>
    <xf numFmtId="173" fontId="76" fillId="0" borderId="0" xfId="46" applyNumberFormat="1" applyFont="1"/>
    <xf numFmtId="0" fontId="49" fillId="0" borderId="78" xfId="46" applyFont="1" applyBorder="1" applyAlignment="1">
      <alignment horizontal="left" vertical="center"/>
    </xf>
    <xf numFmtId="0" fontId="49" fillId="0" borderId="79" xfId="46" applyFont="1" applyBorder="1" applyAlignment="1">
      <alignment horizontal="left" vertical="center"/>
    </xf>
    <xf numFmtId="172" fontId="49" fillId="0" borderId="0" xfId="46" applyNumberFormat="1" applyFont="1" applyBorder="1" applyAlignment="1">
      <alignment horizontal="left" vertical="center" indent="1"/>
    </xf>
    <xf numFmtId="0" fontId="49" fillId="0" borderId="79" xfId="46" applyFont="1" applyBorder="1" applyAlignment="1">
      <alignment horizontal="left" vertical="center" indent="1"/>
    </xf>
    <xf numFmtId="43" fontId="49" fillId="0" borderId="90" xfId="28" applyFont="1" applyFill="1" applyBorder="1" applyAlignment="1">
      <alignment horizontal="left" vertical="center"/>
    </xf>
    <xf numFmtId="0" fontId="49" fillId="0" borderId="90" xfId="46" applyFont="1" applyBorder="1" applyAlignment="1">
      <alignment horizontal="left" vertical="center" wrapText="1" indent="1"/>
    </xf>
    <xf numFmtId="0" fontId="49" fillId="0" borderId="0" xfId="46" applyFont="1" applyAlignment="1">
      <alignment horizontal="left" wrapText="1"/>
    </xf>
    <xf numFmtId="43" fontId="49" fillId="0" borderId="90" xfId="28" applyFont="1" applyFill="1" applyBorder="1" applyAlignment="1">
      <alignment vertical="center"/>
    </xf>
    <xf numFmtId="172" fontId="49" fillId="0" borderId="79" xfId="46" applyNumberFormat="1" applyFont="1" applyBorder="1" applyAlignment="1">
      <alignment horizontal="left" vertical="center" indent="1"/>
    </xf>
    <xf numFmtId="43" fontId="49" fillId="23" borderId="79" xfId="28" applyFont="1" applyFill="1" applyBorder="1" applyAlignment="1">
      <alignment vertical="center"/>
    </xf>
    <xf numFmtId="43" fontId="49" fillId="0" borderId="79" xfId="28" applyFont="1" applyFill="1" applyBorder="1" applyAlignment="1">
      <alignment vertical="center"/>
    </xf>
    <xf numFmtId="0" fontId="49" fillId="0" borderId="0" xfId="46" applyFont="1" applyBorder="1" applyAlignment="1">
      <alignment horizontal="left" vertical="center" wrapText="1" indent="1"/>
    </xf>
    <xf numFmtId="43" fontId="49" fillId="0" borderId="86" xfId="28" applyFont="1" applyFill="1" applyBorder="1" applyAlignment="1">
      <alignment vertical="center"/>
    </xf>
    <xf numFmtId="0" fontId="49" fillId="0" borderId="87" xfId="46" applyFont="1" applyBorder="1" applyAlignment="1">
      <alignment horizontal="left" vertical="center" wrapText="1" indent="1"/>
    </xf>
    <xf numFmtId="0" fontId="49" fillId="0" borderId="88" xfId="46" applyFont="1" applyBorder="1" applyAlignment="1">
      <alignment horizontal="left" vertical="center" wrapText="1"/>
    </xf>
    <xf numFmtId="0" fontId="49" fillId="0" borderId="93" xfId="46" applyFont="1" applyBorder="1" applyAlignment="1">
      <alignment horizontal="left" vertical="center"/>
    </xf>
    <xf numFmtId="0" fontId="49" fillId="0" borderId="94" xfId="46" applyFont="1" applyBorder="1" applyAlignment="1">
      <alignment horizontal="left" vertical="center"/>
    </xf>
    <xf numFmtId="172" fontId="49" fillId="0" borderId="94" xfId="46" applyNumberFormat="1" applyFont="1" applyBorder="1" applyAlignment="1">
      <alignment horizontal="left" vertical="center" indent="1"/>
    </xf>
    <xf numFmtId="43" fontId="49" fillId="23" borderId="94" xfId="28" applyFont="1" applyFill="1" applyBorder="1" applyAlignment="1">
      <alignment horizontal="left" vertical="center"/>
    </xf>
    <xf numFmtId="43" fontId="49" fillId="0" borderId="94" xfId="28" applyFont="1" applyFill="1" applyBorder="1" applyAlignment="1">
      <alignment horizontal="left" vertical="center"/>
    </xf>
    <xf numFmtId="0" fontId="49" fillId="0" borderId="95" xfId="46" applyFont="1" applyBorder="1" applyAlignment="1">
      <alignment horizontal="left" vertical="center" indent="1"/>
    </xf>
    <xf numFmtId="0" fontId="49" fillId="0" borderId="96" xfId="46" applyFont="1" applyBorder="1" applyAlignment="1">
      <alignment horizontal="left" vertical="center"/>
    </xf>
    <xf numFmtId="0" fontId="49" fillId="24" borderId="94" xfId="46" applyFont="1" applyFill="1" applyBorder="1" applyAlignment="1">
      <alignment horizontal="left" vertical="center"/>
    </xf>
    <xf numFmtId="172" fontId="49" fillId="24" borderId="94" xfId="46" applyNumberFormat="1" applyFont="1" applyFill="1" applyBorder="1" applyAlignment="1">
      <alignment horizontal="left" vertical="center" indent="1"/>
    </xf>
    <xf numFmtId="0" fontId="49" fillId="24" borderId="94" xfId="46" applyFont="1" applyFill="1" applyBorder="1" applyAlignment="1">
      <alignment horizontal="left" vertical="center" indent="1"/>
    </xf>
    <xf numFmtId="0" fontId="49" fillId="0" borderId="0" xfId="46" applyFont="1" applyAlignment="1">
      <alignment horizontal="center"/>
    </xf>
    <xf numFmtId="0" fontId="49" fillId="0" borderId="96" xfId="46" applyFont="1" applyBorder="1" applyAlignment="1">
      <alignment horizontal="left" vertical="center" wrapText="1"/>
    </xf>
    <xf numFmtId="0" fontId="49" fillId="0" borderId="80" xfId="46" applyFont="1" applyBorder="1" applyAlignment="1">
      <alignment vertical="center"/>
    </xf>
    <xf numFmtId="0" fontId="75" fillId="0" borderId="81" xfId="46" applyFont="1" applyBorder="1" applyAlignment="1">
      <alignment vertical="center"/>
    </xf>
    <xf numFmtId="0" fontId="49" fillId="0" borderId="81" xfId="46" applyFont="1" applyBorder="1" applyAlignment="1">
      <alignment vertical="center"/>
    </xf>
    <xf numFmtId="172" fontId="49" fillId="0" borderId="81" xfId="46" applyNumberFormat="1" applyFont="1" applyBorder="1" applyAlignment="1">
      <alignment horizontal="left" vertical="center"/>
    </xf>
    <xf numFmtId="0" fontId="49" fillId="0" borderId="81" xfId="46" applyFont="1" applyBorder="1" applyAlignment="1">
      <alignment horizontal="left" vertical="center" indent="1"/>
    </xf>
    <xf numFmtId="43" fontId="49" fillId="23" borderId="81" xfId="28" applyFont="1" applyFill="1" applyBorder="1" applyAlignment="1">
      <alignment vertical="center"/>
    </xf>
    <xf numFmtId="43" fontId="49" fillId="0" borderId="81" xfId="28" applyFont="1" applyFill="1" applyBorder="1" applyAlignment="1">
      <alignment vertical="center"/>
    </xf>
    <xf numFmtId="0" fontId="49" fillId="0" borderId="97" xfId="46" applyFont="1" applyBorder="1" applyAlignment="1">
      <alignment horizontal="left" vertical="center"/>
    </xf>
    <xf numFmtId="0" fontId="49" fillId="0" borderId="82" xfId="46" applyFont="1" applyBorder="1" applyAlignment="1">
      <alignment vertical="center"/>
    </xf>
    <xf numFmtId="0" fontId="49" fillId="0" borderId="98" xfId="46" applyFont="1" applyBorder="1" applyAlignment="1">
      <alignment vertical="center"/>
    </xf>
    <xf numFmtId="0" fontId="49" fillId="0" borderId="99" xfId="46" applyFont="1" applyBorder="1" applyAlignment="1">
      <alignment vertical="center"/>
    </xf>
    <xf numFmtId="0" fontId="49" fillId="0" borderId="99" xfId="46" applyFont="1" applyBorder="1" applyAlignment="1">
      <alignment vertical="center" wrapText="1"/>
    </xf>
    <xf numFmtId="172" fontId="49" fillId="0" borderId="99" xfId="46" applyNumberFormat="1" applyFont="1" applyBorder="1" applyAlignment="1">
      <alignment horizontal="left" vertical="center"/>
    </xf>
    <xf numFmtId="0" fontId="49" fillId="0" borderId="99" xfId="46" applyFont="1" applyBorder="1" applyAlignment="1">
      <alignment horizontal="left" vertical="center" indent="1"/>
    </xf>
    <xf numFmtId="43" fontId="49" fillId="23" borderId="99" xfId="28" applyFont="1" applyFill="1" applyBorder="1"/>
    <xf numFmtId="43" fontId="49" fillId="0" borderId="99" xfId="28" applyFont="1" applyFill="1" applyBorder="1"/>
    <xf numFmtId="0" fontId="49" fillId="0" borderId="100" xfId="46" applyFont="1" applyBorder="1" applyAlignment="1">
      <alignment horizontal="left" vertical="center"/>
    </xf>
    <xf numFmtId="0" fontId="49" fillId="0" borderId="101" xfId="46" applyFont="1" applyBorder="1" applyAlignment="1">
      <alignment vertical="center" wrapText="1"/>
    </xf>
    <xf numFmtId="0" fontId="49" fillId="0" borderId="0" xfId="46" applyFont="1" applyBorder="1" applyAlignment="1">
      <alignment vertical="center"/>
    </xf>
    <xf numFmtId="0" fontId="49" fillId="0" borderId="0" xfId="46" applyFont="1" applyBorder="1" applyAlignment="1">
      <alignment vertical="center" wrapText="1"/>
    </xf>
    <xf numFmtId="172" fontId="49" fillId="0" borderId="0" xfId="46" applyNumberFormat="1" applyFont="1" applyBorder="1" applyAlignment="1">
      <alignment horizontal="left" vertical="center"/>
    </xf>
    <xf numFmtId="0" fontId="49" fillId="0" borderId="0" xfId="46" applyFont="1" applyBorder="1" applyAlignment="1">
      <alignment horizontal="left" vertical="center" indent="1"/>
    </xf>
    <xf numFmtId="43" fontId="49" fillId="0" borderId="0" xfId="28" applyFont="1" applyBorder="1"/>
    <xf numFmtId="43" fontId="49" fillId="0" borderId="0" xfId="28" applyFont="1" applyFill="1" applyBorder="1"/>
    <xf numFmtId="0" fontId="49" fillId="0" borderId="0" xfId="46" applyFont="1" applyBorder="1" applyAlignment="1">
      <alignment horizontal="left" vertical="center"/>
    </xf>
    <xf numFmtId="173" fontId="49" fillId="0" borderId="0" xfId="46" applyNumberFormat="1" applyFont="1" applyBorder="1"/>
    <xf numFmtId="0" fontId="49" fillId="0" borderId="102" xfId="46" applyFont="1" applyBorder="1" applyAlignment="1">
      <alignment vertical="center"/>
    </xf>
    <xf numFmtId="0" fontId="75" fillId="0" borderId="103" xfId="46" applyFont="1" applyBorder="1" applyAlignment="1">
      <alignment vertical="center"/>
    </xf>
    <xf numFmtId="0" fontId="49" fillId="0" borderId="104" xfId="46" applyFont="1" applyBorder="1" applyAlignment="1">
      <alignment vertical="center"/>
    </xf>
    <xf numFmtId="172" fontId="49" fillId="0" borderId="105" xfId="46" applyNumberFormat="1" applyFont="1" applyBorder="1" applyAlignment="1">
      <alignment horizontal="left" vertical="center"/>
    </xf>
    <xf numFmtId="43" fontId="49" fillId="23" borderId="105" xfId="28" applyFont="1" applyFill="1" applyBorder="1" applyAlignment="1">
      <alignment vertical="center"/>
    </xf>
    <xf numFmtId="43" fontId="49" fillId="0" borderId="105" xfId="28" applyFont="1" applyFill="1" applyBorder="1" applyAlignment="1">
      <alignment vertical="center"/>
    </xf>
    <xf numFmtId="0" fontId="49" fillId="0" borderId="105" xfId="46" applyFont="1" applyBorder="1" applyAlignment="1">
      <alignment horizontal="left" vertical="center"/>
    </xf>
    <xf numFmtId="0" fontId="49" fillId="0" borderId="21" xfId="46" applyFont="1" applyBorder="1" applyAlignment="1">
      <alignment vertical="center"/>
    </xf>
    <xf numFmtId="0" fontId="49" fillId="0" borderId="78" xfId="46" applyFont="1" applyBorder="1" applyAlignment="1">
      <alignment vertical="center"/>
    </xf>
    <xf numFmtId="0" fontId="49" fillId="0" borderId="90" xfId="46" applyFont="1" applyFill="1" applyBorder="1" applyAlignment="1">
      <alignment vertical="center"/>
    </xf>
    <xf numFmtId="173" fontId="49" fillId="0" borderId="79" xfId="46" applyNumberFormat="1" applyFont="1" applyFill="1" applyBorder="1" applyAlignment="1">
      <alignment vertical="center"/>
    </xf>
    <xf numFmtId="172" fontId="49" fillId="0" borderId="106" xfId="46" applyNumberFormat="1" applyFont="1" applyFill="1" applyBorder="1" applyAlignment="1">
      <alignment horizontal="left" vertical="center"/>
    </xf>
    <xf numFmtId="43" fontId="49" fillId="23" borderId="106" xfId="28" applyFont="1" applyFill="1" applyBorder="1" applyAlignment="1">
      <alignment horizontal="left" vertical="center"/>
    </xf>
    <xf numFmtId="43" fontId="49" fillId="0" borderId="106" xfId="28" applyFont="1" applyFill="1" applyBorder="1" applyAlignment="1">
      <alignment horizontal="left" vertical="center"/>
    </xf>
    <xf numFmtId="17" fontId="49" fillId="0" borderId="106" xfId="46" applyNumberFormat="1" applyFont="1" applyFill="1" applyBorder="1" applyAlignment="1">
      <alignment horizontal="left" vertical="center"/>
    </xf>
    <xf numFmtId="0" fontId="49" fillId="0" borderId="14" xfId="46" applyFont="1" applyFill="1" applyBorder="1" applyAlignment="1">
      <alignment vertical="center"/>
    </xf>
    <xf numFmtId="0" fontId="49" fillId="27" borderId="79" xfId="46" applyFont="1" applyFill="1" applyBorder="1" applyAlignment="1">
      <alignment vertical="center"/>
    </xf>
    <xf numFmtId="173" fontId="76" fillId="27" borderId="79" xfId="46" applyNumberFormat="1" applyFont="1" applyFill="1" applyBorder="1" applyAlignment="1">
      <alignment vertical="center"/>
    </xf>
    <xf numFmtId="172" fontId="49" fillId="27" borderId="106" xfId="46" applyNumberFormat="1" applyFont="1" applyFill="1" applyBorder="1" applyAlignment="1">
      <alignment horizontal="left" vertical="center"/>
    </xf>
    <xf numFmtId="43" fontId="49" fillId="27" borderId="106" xfId="28" applyFont="1" applyFill="1" applyBorder="1"/>
    <xf numFmtId="43" fontId="49" fillId="0" borderId="106" xfId="28" applyFont="1" applyFill="1" applyBorder="1"/>
    <xf numFmtId="0" fontId="49" fillId="0" borderId="106" xfId="46" applyFont="1" applyBorder="1" applyAlignment="1">
      <alignment horizontal="left" vertical="center"/>
    </xf>
    <xf numFmtId="0" fontId="49" fillId="0" borderId="14" xfId="46" applyFont="1" applyBorder="1" applyAlignment="1">
      <alignment vertical="center"/>
    </xf>
    <xf numFmtId="0" fontId="49" fillId="0" borderId="79" xfId="46" applyFont="1" applyBorder="1" applyAlignment="1">
      <alignment vertical="center"/>
    </xf>
    <xf numFmtId="173" fontId="49" fillId="0" borderId="79" xfId="46" applyNumberFormat="1" applyFont="1" applyBorder="1" applyAlignment="1">
      <alignment vertical="center"/>
    </xf>
    <xf numFmtId="172" fontId="49" fillId="0" borderId="106" xfId="46" applyNumberFormat="1" applyFont="1" applyBorder="1" applyAlignment="1">
      <alignment horizontal="left" vertical="center"/>
    </xf>
    <xf numFmtId="43" fontId="49" fillId="23" borderId="106" xfId="28" applyFont="1" applyFill="1" applyBorder="1" applyAlignment="1">
      <alignment vertical="center"/>
    </xf>
    <xf numFmtId="43" fontId="49" fillId="23" borderId="106" xfId="28" applyFont="1" applyFill="1" applyBorder="1"/>
    <xf numFmtId="43" fontId="49" fillId="0" borderId="106" xfId="28" applyFont="1" applyFill="1" applyBorder="1" applyAlignment="1">
      <alignment vertical="center"/>
    </xf>
    <xf numFmtId="173" fontId="49" fillId="27" borderId="79" xfId="46" applyNumberFormat="1" applyFont="1" applyFill="1" applyBorder="1" applyAlignment="1">
      <alignment vertical="center"/>
    </xf>
    <xf numFmtId="172" fontId="49" fillId="27" borderId="106" xfId="46" quotePrefix="1" applyNumberFormat="1" applyFont="1" applyFill="1" applyBorder="1" applyAlignment="1">
      <alignment horizontal="left" vertical="center"/>
    </xf>
    <xf numFmtId="43" fontId="49" fillId="27" borderId="106" xfId="28" applyFont="1" applyFill="1" applyBorder="1" applyAlignment="1">
      <alignment vertical="center"/>
    </xf>
    <xf numFmtId="172" fontId="49" fillId="0" borderId="106" xfId="46" quotePrefix="1" applyNumberFormat="1" applyFont="1" applyBorder="1" applyAlignment="1">
      <alignment horizontal="left" vertical="center"/>
    </xf>
    <xf numFmtId="43" fontId="49" fillId="23" borderId="106" xfId="28" applyFont="1" applyFill="1" applyBorder="1" applyAlignment="1">
      <alignment vertical="center" wrapText="1"/>
    </xf>
    <xf numFmtId="43" fontId="49" fillId="0" borderId="106" xfId="28" applyFont="1" applyFill="1" applyBorder="1" applyAlignment="1">
      <alignment vertical="center" wrapText="1"/>
    </xf>
    <xf numFmtId="43" fontId="49" fillId="27" borderId="106" xfId="28" applyFont="1" applyFill="1" applyBorder="1" applyAlignment="1">
      <alignment vertical="center" wrapText="1"/>
    </xf>
    <xf numFmtId="174" fontId="49" fillId="0" borderId="14" xfId="46" applyNumberFormat="1" applyFont="1" applyBorder="1" applyAlignment="1">
      <alignment vertical="center"/>
    </xf>
    <xf numFmtId="182" fontId="49" fillId="0" borderId="106" xfId="46" applyNumberFormat="1" applyFont="1" applyBorder="1" applyAlignment="1">
      <alignment horizontal="left" vertical="center"/>
    </xf>
    <xf numFmtId="182" fontId="49" fillId="27" borderId="106" xfId="46" applyNumberFormat="1" applyFont="1" applyFill="1" applyBorder="1" applyAlignment="1">
      <alignment horizontal="left" vertical="center"/>
    </xf>
    <xf numFmtId="173" fontId="49" fillId="0" borderId="79" xfId="46" applyNumberFormat="1" applyFont="1" applyBorder="1"/>
    <xf numFmtId="175" fontId="49" fillId="0" borderId="79" xfId="46" applyNumberFormat="1" applyFont="1" applyBorder="1"/>
    <xf numFmtId="0" fontId="49" fillId="0" borderId="0" xfId="46" applyFont="1" applyBorder="1" applyAlignment="1">
      <alignment horizontal="left" indent="1"/>
    </xf>
    <xf numFmtId="0" fontId="49" fillId="0" borderId="14" xfId="46" applyFont="1" applyBorder="1" applyAlignment="1"/>
    <xf numFmtId="173" fontId="76" fillId="0" borderId="79" xfId="46" applyNumberFormat="1" applyFont="1" applyBorder="1"/>
    <xf numFmtId="2" fontId="49" fillId="0" borderId="79" xfId="46" applyNumberFormat="1" applyFont="1" applyBorder="1"/>
    <xf numFmtId="0" fontId="49" fillId="0" borderId="83" xfId="46" applyFont="1" applyBorder="1"/>
    <xf numFmtId="0" fontId="49" fillId="0" borderId="75" xfId="46" applyFont="1" applyBorder="1"/>
    <xf numFmtId="173" fontId="49" fillId="0" borderId="75" xfId="46" applyNumberFormat="1" applyFont="1" applyBorder="1"/>
    <xf numFmtId="175" fontId="49" fillId="0" borderId="75" xfId="46" applyNumberFormat="1" applyFont="1" applyBorder="1"/>
    <xf numFmtId="0" fontId="49" fillId="0" borderId="36" xfId="46" applyFont="1" applyBorder="1" applyAlignment="1">
      <alignment horizontal="left" indent="1"/>
    </xf>
    <xf numFmtId="43" fontId="49" fillId="0" borderId="75" xfId="28" applyFont="1" applyFill="1" applyBorder="1"/>
    <xf numFmtId="173" fontId="49" fillId="0" borderId="81" xfId="46" applyNumberFormat="1" applyFont="1" applyBorder="1" applyAlignment="1">
      <alignment vertical="center"/>
    </xf>
    <xf numFmtId="175" fontId="49" fillId="0" borderId="81" xfId="46" applyNumberFormat="1" applyFont="1" applyBorder="1" applyAlignment="1">
      <alignment vertical="center"/>
    </xf>
    <xf numFmtId="0" fontId="49" fillId="0" borderId="53" xfId="46" applyFont="1" applyBorder="1" applyAlignment="1">
      <alignment horizontal="left" vertical="center"/>
    </xf>
    <xf numFmtId="0" fontId="49" fillId="0" borderId="81" xfId="46" applyFont="1" applyBorder="1" applyAlignment="1">
      <alignment horizontal="left" vertical="center"/>
    </xf>
    <xf numFmtId="174" fontId="76" fillId="0" borderId="0" xfId="46" applyNumberFormat="1" applyFont="1" applyAlignment="1">
      <alignment wrapText="1"/>
    </xf>
    <xf numFmtId="43" fontId="49" fillId="0" borderId="0" xfId="28" applyNumberFormat="1" applyFont="1" applyAlignment="1">
      <alignment horizontal="left"/>
    </xf>
    <xf numFmtId="43" fontId="49" fillId="0" borderId="0" xfId="28" applyNumberFormat="1" applyFont="1" applyFill="1" applyAlignment="1">
      <alignment horizontal="left"/>
    </xf>
    <xf numFmtId="175" fontId="49" fillId="0" borderId="0" xfId="46" applyNumberFormat="1" applyFont="1"/>
    <xf numFmtId="0" fontId="49" fillId="0" borderId="79" xfId="46" applyFont="1" applyFill="1" applyBorder="1" applyAlignment="1">
      <alignment vertical="center"/>
    </xf>
    <xf numFmtId="182" fontId="49" fillId="0" borderId="106" xfId="46" applyNumberFormat="1" applyFont="1" applyFill="1" applyBorder="1" applyAlignment="1">
      <alignment horizontal="left" vertical="center"/>
    </xf>
    <xf numFmtId="0" fontId="49" fillId="0" borderId="0" xfId="46" applyFont="1" applyFill="1"/>
    <xf numFmtId="0" fontId="49" fillId="0" borderId="91" xfId="46" applyFont="1" applyFill="1" applyBorder="1" applyAlignment="1">
      <alignment horizontal="left" vertical="center"/>
    </xf>
    <xf numFmtId="173" fontId="76" fillId="0" borderId="0" xfId="46" applyNumberFormat="1" applyFont="1" applyFill="1"/>
    <xf numFmtId="174" fontId="49" fillId="0" borderId="0" xfId="46" applyNumberFormat="1" applyFont="1" applyFill="1"/>
    <xf numFmtId="174" fontId="76" fillId="0" borderId="0" xfId="46" applyNumberFormat="1" applyFont="1" applyFill="1"/>
    <xf numFmtId="0" fontId="49" fillId="0" borderId="148" xfId="46" applyFont="1" applyBorder="1" applyAlignment="1">
      <alignment horizontal="left" vertical="center"/>
    </xf>
    <xf numFmtId="43" fontId="49" fillId="23" borderId="89" xfId="28" applyFont="1" applyFill="1" applyBorder="1" applyAlignment="1">
      <alignment horizontal="left" vertical="center"/>
    </xf>
    <xf numFmtId="43" fontId="49" fillId="0" borderId="89" xfId="28" applyFont="1" applyFill="1" applyBorder="1" applyAlignment="1">
      <alignment horizontal="left" vertical="center"/>
    </xf>
    <xf numFmtId="0" fontId="49" fillId="0" borderId="149" xfId="46" applyFont="1" applyBorder="1" applyAlignment="1">
      <alignment horizontal="left" vertical="center" indent="1"/>
    </xf>
    <xf numFmtId="0" fontId="49" fillId="0" borderId="150" xfId="46" applyFont="1" applyFill="1" applyBorder="1"/>
    <xf numFmtId="0" fontId="49" fillId="0" borderId="93" xfId="46" applyFont="1" applyFill="1" applyBorder="1" applyAlignment="1">
      <alignment horizontal="left" vertical="center"/>
    </xf>
    <xf numFmtId="0" fontId="49" fillId="0" borderId="94" xfId="46" applyFont="1" applyFill="1" applyBorder="1" applyAlignment="1">
      <alignment horizontal="left" vertical="center"/>
    </xf>
    <xf numFmtId="172" fontId="49" fillId="0" borderId="94" xfId="46" applyNumberFormat="1" applyFont="1" applyFill="1" applyBorder="1" applyAlignment="1">
      <alignment horizontal="left" vertical="center" indent="1"/>
    </xf>
    <xf numFmtId="0" fontId="49" fillId="0" borderId="94" xfId="46" applyFont="1" applyFill="1" applyBorder="1" applyAlignment="1">
      <alignment horizontal="left" vertical="center" indent="1"/>
    </xf>
    <xf numFmtId="0" fontId="49" fillId="0" borderId="151" xfId="46" applyFont="1" applyFill="1" applyBorder="1" applyAlignment="1">
      <alignment horizontal="left" vertical="center" indent="1"/>
    </xf>
    <xf numFmtId="0" fontId="49" fillId="0" borderId="92" xfId="46" applyFont="1" applyBorder="1" applyAlignment="1">
      <alignment horizontal="left" vertical="center" wrapText="1"/>
    </xf>
    <xf numFmtId="172" fontId="49" fillId="0" borderId="79" xfId="46" quotePrefix="1" applyNumberFormat="1" applyFont="1" applyBorder="1" applyAlignment="1">
      <alignment horizontal="left" vertical="center" indent="1"/>
    </xf>
    <xf numFmtId="0" fontId="49" fillId="0" borderId="90" xfId="46" applyFont="1" applyBorder="1" applyAlignment="1">
      <alignment horizontal="left" vertical="center"/>
    </xf>
    <xf numFmtId="43" fontId="49" fillId="24" borderId="79" xfId="28" applyFont="1" applyFill="1" applyBorder="1" applyAlignment="1">
      <alignment vertical="center"/>
    </xf>
    <xf numFmtId="43" fontId="49" fillId="24" borderId="106" xfId="28" applyFont="1" applyFill="1" applyBorder="1" applyAlignment="1">
      <alignment vertical="center" wrapText="1"/>
    </xf>
    <xf numFmtId="43" fontId="49" fillId="24" borderId="94" xfId="28" applyFont="1" applyFill="1" applyBorder="1" applyAlignment="1">
      <alignment horizontal="left" vertical="center"/>
    </xf>
    <xf numFmtId="0" fontId="49" fillId="0" borderId="148" xfId="46" applyFont="1" applyFill="1" applyBorder="1" applyAlignment="1">
      <alignment horizontal="left" vertical="center"/>
    </xf>
    <xf numFmtId="0" fontId="49" fillId="0" borderId="89" xfId="46" applyFont="1" applyFill="1" applyBorder="1" applyAlignment="1">
      <alignment horizontal="left" vertical="center"/>
    </xf>
    <xf numFmtId="172" fontId="49" fillId="0" borderId="89" xfId="46" applyNumberFormat="1" applyFont="1" applyFill="1" applyBorder="1" applyAlignment="1">
      <alignment horizontal="left" vertical="center" indent="1"/>
    </xf>
    <xf numFmtId="0" fontId="49" fillId="0" borderId="89" xfId="46" applyFont="1" applyFill="1" applyBorder="1" applyAlignment="1">
      <alignment horizontal="left" vertical="center" indent="1"/>
    </xf>
    <xf numFmtId="0" fontId="49" fillId="0" borderId="149" xfId="46" applyFont="1" applyFill="1" applyBorder="1" applyAlignment="1">
      <alignment horizontal="left" vertical="center" indent="1"/>
    </xf>
    <xf numFmtId="43" fontId="30" fillId="0" borderId="15" xfId="28" applyFont="1" applyBorder="1" applyAlignment="1" applyProtection="1">
      <alignment horizontal="right" vertical="center" indent="1"/>
      <protection hidden="1"/>
    </xf>
    <xf numFmtId="49" fontId="49" fillId="0" borderId="15" xfId="0" applyNumberFormat="1"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hidden="1"/>
    </xf>
    <xf numFmtId="0" fontId="49" fillId="0" borderId="0" xfId="0" applyFont="1" applyFill="1" applyBorder="1" applyAlignment="1" applyProtection="1">
      <alignment horizontal="center" vertical="center"/>
      <protection hidden="1"/>
    </xf>
    <xf numFmtId="43" fontId="30" fillId="0" borderId="15" xfId="28" applyFont="1" applyBorder="1" applyAlignment="1" applyProtection="1">
      <alignment vertical="center"/>
      <protection hidden="1"/>
    </xf>
    <xf numFmtId="0" fontId="49" fillId="25" borderId="16" xfId="37" applyFont="1" applyFill="1" applyBorder="1" applyAlignment="1">
      <alignment horizontal="left" vertical="center" indent="1"/>
      <protection locked="0"/>
    </xf>
    <xf numFmtId="43" fontId="30" fillId="0" borderId="0" xfId="28" applyFont="1" applyFill="1" applyAlignment="1">
      <alignment vertical="center"/>
    </xf>
    <xf numFmtId="43" fontId="49" fillId="0" borderId="16" xfId="37" quotePrefix="1" applyNumberFormat="1" applyFont="1" applyFill="1" applyBorder="1" applyAlignment="1" applyProtection="1">
      <alignment horizontal="left" vertical="center" indent="1"/>
      <protection locked="0"/>
    </xf>
    <xf numFmtId="43" fontId="30" fillId="0" borderId="0" xfId="28" applyFont="1" applyFill="1" applyAlignment="1">
      <alignment vertical="center"/>
    </xf>
    <xf numFmtId="43" fontId="11" fillId="0" borderId="30" xfId="28" applyFont="1" applyFill="1" applyBorder="1" applyAlignment="1" applyProtection="1">
      <alignment horizontal="left" vertical="center" indent="1"/>
      <protection locked="0"/>
    </xf>
    <xf numFmtId="43" fontId="30" fillId="0" borderId="23" xfId="28" applyFont="1" applyFill="1" applyBorder="1" applyAlignment="1" applyProtection="1">
      <alignment horizontal="right" vertical="center" indent="1"/>
      <protection hidden="1"/>
    </xf>
    <xf numFmtId="43" fontId="78" fillId="30" borderId="60" xfId="28" applyFont="1" applyFill="1" applyBorder="1" applyAlignment="1">
      <alignment horizontal="right" vertical="center"/>
    </xf>
    <xf numFmtId="43" fontId="59" fillId="30" borderId="26" xfId="55" applyFont="1" applyFill="1" applyBorder="1" applyAlignment="1" applyProtection="1">
      <alignment vertical="center"/>
      <protection hidden="1"/>
    </xf>
    <xf numFmtId="43" fontId="5" fillId="0" borderId="152" xfId="0" applyNumberFormat="1" applyFont="1" applyBorder="1" applyAlignment="1" applyProtection="1">
      <alignment vertical="center"/>
      <protection hidden="1"/>
    </xf>
    <xf numFmtId="43" fontId="5" fillId="0" borderId="153" xfId="0" applyNumberFormat="1" applyFont="1" applyBorder="1" applyAlignment="1" applyProtection="1">
      <alignment vertical="center"/>
      <protection hidden="1"/>
    </xf>
    <xf numFmtId="43" fontId="5" fillId="0" borderId="154" xfId="0" applyNumberFormat="1" applyFont="1" applyBorder="1" applyAlignment="1" applyProtection="1">
      <alignment vertical="center"/>
      <protection hidden="1"/>
    </xf>
    <xf numFmtId="43" fontId="5" fillId="0" borderId="155" xfId="0" applyNumberFormat="1" applyFont="1" applyBorder="1" applyAlignment="1" applyProtection="1">
      <alignment vertical="center"/>
      <protection hidden="1"/>
    </xf>
    <xf numFmtId="43" fontId="5" fillId="0" borderId="152" xfId="57" applyBorder="1" applyAlignment="1" applyProtection="1">
      <alignment vertical="center"/>
      <protection hidden="1"/>
    </xf>
    <xf numFmtId="43" fontId="71" fillId="25" borderId="60" xfId="28" applyFont="1" applyFill="1" applyBorder="1" applyAlignment="1">
      <alignment horizontal="right" vertical="center"/>
    </xf>
    <xf numFmtId="43" fontId="11" fillId="25" borderId="34" xfId="28" applyFont="1" applyFill="1" applyBorder="1" applyAlignment="1" applyProtection="1">
      <alignment vertical="center"/>
      <protection hidden="1"/>
    </xf>
    <xf numFmtId="43" fontId="30" fillId="0" borderId="50" xfId="51" applyFont="1" applyFill="1" applyBorder="1" applyAlignment="1" applyProtection="1">
      <alignment vertical="center"/>
      <protection hidden="1"/>
    </xf>
    <xf numFmtId="43" fontId="30" fillId="20" borderId="132" xfId="28" applyFont="1" applyFill="1" applyBorder="1" applyAlignment="1" applyProtection="1">
      <alignment vertical="center"/>
      <protection hidden="1"/>
    </xf>
    <xf numFmtId="43" fontId="30" fillId="0" borderId="132" xfId="28" applyFont="1" applyFill="1" applyBorder="1" applyAlignment="1">
      <alignment vertical="center"/>
    </xf>
    <xf numFmtId="43" fontId="30" fillId="0" borderId="132" xfId="28" applyFont="1" applyFill="1" applyBorder="1" applyAlignment="1"/>
    <xf numFmtId="43" fontId="30" fillId="0" borderId="161" xfId="28" applyFont="1" applyFill="1" applyBorder="1" applyAlignment="1" applyProtection="1">
      <alignment vertical="center"/>
      <protection hidden="1"/>
    </xf>
    <xf numFmtId="0" fontId="30" fillId="0" borderId="0" xfId="0" applyFont="1" applyFill="1" applyAlignment="1">
      <alignment horizontal="left" vertical="center" indent="1"/>
    </xf>
    <xf numFmtId="0" fontId="30" fillId="0" borderId="0" xfId="0" applyFont="1" applyFill="1" applyBorder="1" applyAlignment="1">
      <alignment horizontal="left" vertical="center" indent="1"/>
    </xf>
    <xf numFmtId="0" fontId="30" fillId="25" borderId="15" xfId="0" applyFont="1" applyFill="1" applyBorder="1" applyAlignment="1" applyProtection="1">
      <alignment horizontal="left" vertical="center" indent="1"/>
      <protection locked="0"/>
    </xf>
    <xf numFmtId="0" fontId="49" fillId="0" borderId="0" xfId="0" applyFont="1" applyFill="1" applyAlignment="1">
      <alignment horizontal="center" vertical="center"/>
    </xf>
    <xf numFmtId="0" fontId="49" fillId="0" borderId="0" xfId="0" applyFont="1" applyFill="1" applyBorder="1" applyAlignment="1">
      <alignment horizontal="center" vertical="center"/>
    </xf>
    <xf numFmtId="43" fontId="33" fillId="25" borderId="15" xfId="28" applyFont="1" applyFill="1" applyBorder="1" applyAlignment="1" applyProtection="1">
      <alignment horizontal="left" vertical="center"/>
      <protection locked="0"/>
    </xf>
    <xf numFmtId="43" fontId="30" fillId="0" borderId="0" xfId="28" applyFont="1" applyFill="1" applyAlignment="1">
      <alignment vertical="center"/>
    </xf>
    <xf numFmtId="43" fontId="30" fillId="0" borderId="15" xfId="28" applyFont="1" applyFill="1" applyBorder="1" applyAlignment="1" applyProtection="1">
      <alignment horizontal="left" vertical="center"/>
      <protection locked="0"/>
    </xf>
    <xf numFmtId="166" fontId="80" fillId="0" borderId="0" xfId="28" applyNumberFormat="1" applyFont="1" applyAlignment="1">
      <alignment horizontal="center"/>
    </xf>
    <xf numFmtId="49" fontId="57" fillId="28" borderId="24" xfId="28" applyNumberFormat="1" applyFont="1" applyFill="1" applyBorder="1" applyAlignment="1" applyProtection="1">
      <alignment horizontal="center" vertical="center"/>
      <protection hidden="1"/>
    </xf>
    <xf numFmtId="49" fontId="57" fillId="0" borderId="24" xfId="28" applyNumberFormat="1" applyFont="1" applyFill="1" applyBorder="1" applyAlignment="1" applyProtection="1">
      <alignment horizontal="center" vertical="center"/>
      <protection hidden="1"/>
    </xf>
    <xf numFmtId="49" fontId="57" fillId="21" borderId="24" xfId="28" applyNumberFormat="1" applyFont="1" applyFill="1" applyBorder="1" applyAlignment="1" applyProtection="1">
      <alignment horizontal="center" vertical="center"/>
      <protection hidden="1"/>
    </xf>
    <xf numFmtId="166" fontId="57" fillId="0" borderId="55" xfId="28" applyNumberFormat="1" applyFont="1" applyFill="1" applyBorder="1" applyAlignment="1">
      <alignment horizontal="center" vertical="center"/>
    </xf>
    <xf numFmtId="166" fontId="80" fillId="0" borderId="22" xfId="28" applyNumberFormat="1" applyFont="1" applyBorder="1" applyAlignment="1">
      <alignment horizontal="center" vertical="center"/>
    </xf>
    <xf numFmtId="43" fontId="30" fillId="0" borderId="0" xfId="28" applyFont="1" applyFill="1" applyAlignment="1">
      <alignment vertical="center"/>
    </xf>
    <xf numFmtId="43" fontId="30" fillId="26" borderId="29" xfId="28" applyFont="1" applyFill="1" applyBorder="1" applyAlignment="1" applyProtection="1">
      <alignment vertical="center"/>
    </xf>
    <xf numFmtId="43" fontId="57" fillId="0" borderId="0" xfId="28" applyFont="1" applyFill="1" applyAlignment="1" applyProtection="1">
      <alignment vertical="center"/>
    </xf>
    <xf numFmtId="168" fontId="42" fillId="0" borderId="0" xfId="0" applyNumberFormat="1" applyFont="1" applyAlignment="1" applyProtection="1">
      <alignment horizontal="center"/>
    </xf>
    <xf numFmtId="43" fontId="30" fillId="28" borderId="23" xfId="28" applyFont="1" applyFill="1" applyBorder="1" applyAlignment="1" applyProtection="1">
      <alignment horizontal="left" vertical="center"/>
      <protection locked="0"/>
    </xf>
    <xf numFmtId="43" fontId="30" fillId="0" borderId="24" xfId="28" applyFont="1" applyFill="1" applyBorder="1" applyAlignment="1" applyProtection="1">
      <alignment horizontal="left" vertical="center"/>
      <protection hidden="1"/>
    </xf>
    <xf numFmtId="15" fontId="49" fillId="0" borderId="15" xfId="37" applyNumberFormat="1" applyFont="1" applyFill="1" applyBorder="1" applyAlignment="1" applyProtection="1">
      <alignment horizontal="left" vertical="center" indent="1"/>
      <protection locked="0"/>
    </xf>
    <xf numFmtId="39" fontId="30" fillId="0" borderId="15" xfId="28" applyNumberFormat="1" applyFont="1" applyFill="1" applyBorder="1" applyAlignment="1" applyProtection="1">
      <alignment horizontal="left" vertical="center" indent="1"/>
      <protection hidden="1"/>
    </xf>
    <xf numFmtId="0" fontId="30" fillId="0" borderId="15" xfId="0" applyFont="1" applyFill="1" applyBorder="1" applyAlignment="1" applyProtection="1">
      <alignment horizontal="left" vertical="center" indent="1"/>
      <protection locked="0"/>
    </xf>
    <xf numFmtId="43" fontId="30" fillId="0" borderId="0" xfId="28" applyFont="1" applyFill="1" applyAlignment="1">
      <alignment vertical="center"/>
    </xf>
    <xf numFmtId="166" fontId="30" fillId="0" borderId="0" xfId="28" applyNumberFormat="1" applyFont="1" applyFill="1" applyBorder="1" applyAlignment="1">
      <alignment vertical="center"/>
    </xf>
    <xf numFmtId="43" fontId="30" fillId="0" borderId="20" xfId="28" applyFont="1" applyFill="1" applyBorder="1" applyAlignment="1">
      <alignment vertical="center"/>
    </xf>
    <xf numFmtId="43" fontId="37" fillId="0" borderId="20" xfId="28" applyFont="1" applyFill="1" applyBorder="1" applyAlignment="1">
      <alignment vertical="center"/>
    </xf>
    <xf numFmtId="43" fontId="30" fillId="0" borderId="20" xfId="28" applyFont="1" applyFill="1" applyBorder="1" applyAlignment="1" applyProtection="1">
      <alignment vertical="center"/>
      <protection hidden="1"/>
    </xf>
    <xf numFmtId="43" fontId="30" fillId="0" borderId="162" xfId="28" applyFont="1" applyFill="1" applyBorder="1" applyAlignment="1">
      <alignment vertical="center"/>
    </xf>
    <xf numFmtId="43" fontId="31" fillId="0" borderId="133" xfId="28" applyFont="1" applyBorder="1" applyAlignment="1">
      <alignment horizontal="center" vertical="center" wrapText="1"/>
    </xf>
    <xf numFmtId="43" fontId="30" fillId="0" borderId="19" xfId="28" applyFont="1" applyFill="1" applyBorder="1" applyAlignment="1">
      <alignment vertical="center"/>
    </xf>
    <xf numFmtId="43" fontId="30" fillId="0" borderId="22" xfId="28" applyFont="1" applyFill="1" applyBorder="1" applyAlignment="1">
      <alignment vertical="center"/>
    </xf>
    <xf numFmtId="43" fontId="30" fillId="0" borderId="164" xfId="28" applyFont="1" applyFill="1" applyBorder="1" applyAlignment="1" applyProtection="1">
      <alignment vertical="center"/>
      <protection hidden="1"/>
    </xf>
    <xf numFmtId="43" fontId="30" fillId="0" borderId="165" xfId="28" applyFont="1" applyFill="1" applyBorder="1" applyAlignment="1" applyProtection="1">
      <alignment vertical="center"/>
      <protection hidden="1"/>
    </xf>
    <xf numFmtId="43" fontId="30" fillId="0" borderId="164" xfId="28" applyFont="1" applyFill="1" applyBorder="1" applyAlignment="1" applyProtection="1">
      <alignment vertical="center" wrapText="1"/>
      <protection hidden="1"/>
    </xf>
    <xf numFmtId="43" fontId="30" fillId="0" borderId="164" xfId="28" applyFont="1" applyFill="1" applyBorder="1" applyAlignment="1" applyProtection="1">
      <alignment horizontal="right" vertical="center" wrapText="1"/>
      <protection hidden="1"/>
    </xf>
    <xf numFmtId="43" fontId="11" fillId="0" borderId="166" xfId="28" applyFont="1" applyFill="1" applyBorder="1" applyAlignment="1" applyProtection="1">
      <alignment horizontal="left" vertical="center" indent="1"/>
      <protection locked="0"/>
    </xf>
    <xf numFmtId="43" fontId="30" fillId="0" borderId="164" xfId="28" applyFont="1" applyFill="1" applyBorder="1" applyAlignment="1">
      <alignment horizontal="right" vertical="center"/>
    </xf>
    <xf numFmtId="43" fontId="30" fillId="0" borderId="167" xfId="28" applyFont="1" applyFill="1" applyBorder="1" applyAlignment="1" applyProtection="1">
      <alignment horizontal="right" vertical="center"/>
      <protection hidden="1"/>
    </xf>
    <xf numFmtId="43" fontId="31" fillId="20" borderId="169" xfId="28" applyFont="1" applyFill="1" applyBorder="1" applyAlignment="1" applyProtection="1">
      <alignment horizontal="right" vertical="center"/>
      <protection hidden="1"/>
    </xf>
    <xf numFmtId="43" fontId="11" fillId="25" borderId="166" xfId="28" applyFont="1" applyFill="1" applyBorder="1" applyAlignment="1" applyProtection="1">
      <alignment vertical="center"/>
      <protection hidden="1"/>
    </xf>
    <xf numFmtId="43" fontId="30" fillId="0" borderId="170" xfId="28" applyFont="1" applyFill="1" applyBorder="1" applyAlignment="1">
      <alignment vertical="center"/>
    </xf>
    <xf numFmtId="43" fontId="30" fillId="0" borderId="171" xfId="28" applyFont="1" applyFill="1" applyBorder="1" applyAlignment="1">
      <alignment vertical="center"/>
    </xf>
    <xf numFmtId="43" fontId="30" fillId="23" borderId="172" xfId="28" applyFont="1" applyFill="1" applyBorder="1" applyAlignment="1" applyProtection="1">
      <alignment vertical="center"/>
      <protection hidden="1"/>
    </xf>
    <xf numFmtId="43" fontId="30" fillId="0" borderId="170" xfId="28" applyFont="1" applyFill="1" applyBorder="1" applyAlignment="1" applyProtection="1">
      <alignment vertical="center"/>
      <protection hidden="1"/>
    </xf>
    <xf numFmtId="43" fontId="37" fillId="0" borderId="21" xfId="28" applyFont="1" applyFill="1" applyBorder="1" applyAlignment="1">
      <alignment vertical="center"/>
    </xf>
    <xf numFmtId="43" fontId="11" fillId="0" borderId="14" xfId="28" quotePrefix="1" applyFont="1" applyBorder="1" applyAlignment="1">
      <alignment horizontal="center" vertical="center" wrapText="1"/>
    </xf>
    <xf numFmtId="43" fontId="30" fillId="0" borderId="76" xfId="28" applyFont="1" applyBorder="1" applyAlignment="1">
      <alignment vertical="center"/>
    </xf>
    <xf numFmtId="165" fontId="30" fillId="0" borderId="175" xfId="28" applyNumberFormat="1" applyFont="1" applyFill="1" applyBorder="1" applyAlignment="1">
      <alignment horizontal="right" vertical="center" wrapText="1" indent="2"/>
    </xf>
    <xf numFmtId="43" fontId="30" fillId="0" borderId="14" xfId="28" applyFont="1" applyFill="1" applyBorder="1" applyAlignment="1">
      <alignment vertical="center"/>
    </xf>
    <xf numFmtId="165" fontId="30" fillId="0" borderId="176" xfId="28" applyNumberFormat="1" applyFont="1" applyFill="1" applyBorder="1" applyAlignment="1">
      <alignment horizontal="right" vertical="center" wrapText="1" indent="2"/>
    </xf>
    <xf numFmtId="165" fontId="30" fillId="0" borderId="14" xfId="28" applyNumberFormat="1" applyFont="1" applyFill="1" applyBorder="1" applyAlignment="1">
      <alignment horizontal="right" vertical="center" wrapText="1" indent="2"/>
    </xf>
    <xf numFmtId="165" fontId="30" fillId="0" borderId="177" xfId="28" applyNumberFormat="1" applyFont="1" applyFill="1" applyBorder="1" applyAlignment="1">
      <alignment horizontal="right" vertical="center" wrapText="1" indent="2"/>
    </xf>
    <xf numFmtId="165" fontId="30" fillId="0" borderId="178" xfId="28" applyNumberFormat="1" applyFont="1" applyFill="1" applyBorder="1" applyAlignment="1">
      <alignment horizontal="right" vertical="center" wrapText="1" indent="2"/>
    </xf>
    <xf numFmtId="43" fontId="30" fillId="20" borderId="176" xfId="28" applyFont="1" applyFill="1" applyBorder="1" applyAlignment="1" applyProtection="1">
      <alignment horizontal="left" vertical="center"/>
      <protection hidden="1"/>
    </xf>
    <xf numFmtId="43" fontId="30" fillId="0" borderId="176" xfId="28" applyFont="1" applyFill="1" applyBorder="1" applyAlignment="1" applyProtection="1">
      <alignment horizontal="left" vertical="center"/>
      <protection hidden="1"/>
    </xf>
    <xf numFmtId="43" fontId="11" fillId="0" borderId="180" xfId="28" quotePrefix="1" applyFont="1" applyBorder="1" applyAlignment="1">
      <alignment horizontal="center" vertical="center" wrapText="1"/>
    </xf>
    <xf numFmtId="43" fontId="38" fillId="0" borderId="176" xfId="28" applyFont="1" applyFill="1" applyBorder="1" applyAlignment="1">
      <alignment vertical="center"/>
    </xf>
    <xf numFmtId="4" fontId="30" fillId="0" borderId="176" xfId="28" applyNumberFormat="1" applyFont="1" applyFill="1" applyBorder="1" applyAlignment="1">
      <alignment vertical="center"/>
    </xf>
    <xf numFmtId="43" fontId="30" fillId="0" borderId="176" xfId="28" applyFont="1" applyFill="1" applyBorder="1" applyAlignment="1">
      <alignment vertical="center"/>
    </xf>
    <xf numFmtId="43" fontId="38" fillId="0" borderId="181" xfId="28" applyFont="1" applyFill="1" applyBorder="1" applyAlignment="1">
      <alignment vertical="center"/>
    </xf>
    <xf numFmtId="165" fontId="30" fillId="0" borderId="182" xfId="51" applyNumberFormat="1" applyFont="1" applyFill="1" applyBorder="1" applyAlignment="1">
      <alignment horizontal="right" vertical="center" wrapText="1" indent="2"/>
    </xf>
    <xf numFmtId="165" fontId="30" fillId="0" borderId="178" xfId="51" applyNumberFormat="1" applyFont="1" applyFill="1" applyBorder="1" applyAlignment="1">
      <alignment horizontal="right" vertical="center" wrapText="1" indent="2"/>
    </xf>
    <xf numFmtId="165" fontId="30" fillId="0" borderId="183" xfId="28" applyNumberFormat="1" applyFont="1" applyFill="1" applyBorder="1" applyAlignment="1">
      <alignment horizontal="right" vertical="center" wrapText="1" indent="2"/>
    </xf>
    <xf numFmtId="43" fontId="37" fillId="0" borderId="184" xfId="28" applyFont="1" applyFill="1" applyBorder="1" applyAlignment="1">
      <alignment vertical="center"/>
    </xf>
    <xf numFmtId="43" fontId="37" fillId="0" borderId="21" xfId="28" applyFont="1" applyFill="1" applyBorder="1" applyAlignment="1" applyProtection="1">
      <alignment vertical="center"/>
      <protection locked="0"/>
    </xf>
    <xf numFmtId="43" fontId="11" fillId="26" borderId="14" xfId="28" applyFont="1" applyFill="1" applyBorder="1" applyAlignment="1" applyProtection="1">
      <alignment horizontal="center" vertical="center" wrapText="1"/>
      <protection locked="0"/>
    </xf>
    <xf numFmtId="43" fontId="30" fillId="26" borderId="173" xfId="28" applyFont="1" applyFill="1" applyBorder="1" applyAlignment="1" applyProtection="1">
      <alignment vertical="center"/>
      <protection locked="0"/>
    </xf>
    <xf numFmtId="43" fontId="30" fillId="26" borderId="173" xfId="28" applyFont="1" applyFill="1" applyBorder="1" applyAlignment="1" applyProtection="1">
      <alignment vertical="center"/>
    </xf>
    <xf numFmtId="43" fontId="31" fillId="26" borderId="173" xfId="28" applyFont="1" applyFill="1" applyBorder="1" applyAlignment="1" applyProtection="1">
      <alignment vertical="center"/>
      <protection locked="0"/>
    </xf>
    <xf numFmtId="43" fontId="31" fillId="26" borderId="174" xfId="28" applyFont="1" applyFill="1" applyBorder="1" applyAlignment="1" applyProtection="1">
      <alignment vertical="center"/>
    </xf>
    <xf numFmtId="43" fontId="30" fillId="0" borderId="76" xfId="28" applyFont="1" applyFill="1" applyBorder="1" applyAlignment="1" applyProtection="1">
      <alignment vertical="center"/>
      <protection locked="0"/>
    </xf>
    <xf numFmtId="43" fontId="11" fillId="26" borderId="185" xfId="28" applyFont="1" applyFill="1" applyBorder="1" applyAlignment="1" applyProtection="1">
      <alignment vertical="center"/>
      <protection locked="0"/>
    </xf>
    <xf numFmtId="43" fontId="11" fillId="26" borderId="173" xfId="28" applyFont="1" applyFill="1" applyBorder="1" applyAlignment="1" applyProtection="1">
      <alignment vertical="center"/>
      <protection locked="0"/>
    </xf>
    <xf numFmtId="43" fontId="11" fillId="26" borderId="186" xfId="28" applyFont="1" applyFill="1" applyBorder="1" applyAlignment="1" applyProtection="1">
      <alignment vertical="center"/>
      <protection locked="0"/>
    </xf>
    <xf numFmtId="43" fontId="11" fillId="26" borderId="176" xfId="28" applyFont="1" applyFill="1" applyBorder="1" applyAlignment="1" applyProtection="1">
      <alignment vertical="center"/>
      <protection locked="0"/>
    </xf>
    <xf numFmtId="43" fontId="11" fillId="26" borderId="183" xfId="28" applyFont="1" applyFill="1" applyBorder="1" applyAlignment="1" applyProtection="1">
      <alignment vertical="center"/>
    </xf>
    <xf numFmtId="43" fontId="11" fillId="26" borderId="175" xfId="28" applyFont="1" applyFill="1" applyBorder="1" applyAlignment="1" applyProtection="1">
      <alignment vertical="center"/>
    </xf>
    <xf numFmtId="43" fontId="11" fillId="26" borderId="175" xfId="28" applyFont="1" applyFill="1" applyBorder="1" applyAlignment="1" applyProtection="1">
      <alignment vertical="center"/>
      <protection locked="0"/>
    </xf>
    <xf numFmtId="43" fontId="11" fillId="20" borderId="187" xfId="28" applyFont="1" applyFill="1" applyBorder="1" applyAlignment="1" applyProtection="1">
      <alignment vertical="center"/>
    </xf>
    <xf numFmtId="43" fontId="35" fillId="26" borderId="173" xfId="28" applyFont="1" applyFill="1" applyBorder="1" applyAlignment="1" applyProtection="1">
      <alignment vertical="center"/>
      <protection locked="0"/>
    </xf>
    <xf numFmtId="43" fontId="36" fillId="26" borderId="173" xfId="28" applyFont="1" applyFill="1" applyBorder="1" applyAlignment="1" applyProtection="1"/>
    <xf numFmtId="43" fontId="36" fillId="26" borderId="179" xfId="28" applyNumberFormat="1" applyFont="1" applyFill="1" applyBorder="1" applyAlignment="1" applyProtection="1">
      <alignment vertical="center"/>
    </xf>
    <xf numFmtId="0" fontId="49" fillId="0" borderId="92" xfId="46" applyFont="1" applyBorder="1" applyAlignment="1">
      <alignment horizontal="left" vertical="center" wrapText="1"/>
    </xf>
    <xf numFmtId="43" fontId="30" fillId="25" borderId="23" xfId="28" applyFont="1" applyFill="1" applyBorder="1" applyAlignment="1" applyProtection="1">
      <alignment horizontal="right" vertical="center" indent="1"/>
      <protection hidden="1"/>
    </xf>
    <xf numFmtId="15" fontId="5" fillId="0" borderId="144" xfId="28" applyNumberFormat="1" applyFont="1" applyFill="1" applyBorder="1" applyAlignment="1">
      <alignment vertical="center"/>
    </xf>
    <xf numFmtId="43" fontId="82" fillId="0" borderId="144" xfId="28" applyFont="1" applyFill="1" applyBorder="1" applyAlignment="1">
      <alignment vertical="center"/>
    </xf>
    <xf numFmtId="0" fontId="49" fillId="0" borderId="22" xfId="46" applyFont="1" applyBorder="1" applyAlignment="1">
      <alignment vertical="center"/>
    </xf>
    <xf numFmtId="173" fontId="49" fillId="0" borderId="106" xfId="46" applyNumberFormat="1" applyFont="1" applyFill="1" applyBorder="1" applyAlignment="1">
      <alignment vertical="center"/>
    </xf>
    <xf numFmtId="0" fontId="49" fillId="0" borderId="104" xfId="46" applyFont="1" applyBorder="1" applyAlignment="1">
      <alignment vertical="center" wrapText="1"/>
    </xf>
    <xf numFmtId="0" fontId="49" fillId="0" borderId="79" xfId="46" applyFont="1" applyBorder="1" applyAlignment="1">
      <alignment vertical="center" wrapText="1"/>
    </xf>
    <xf numFmtId="43" fontId="49" fillId="27" borderId="0" xfId="28" applyFont="1" applyFill="1" applyBorder="1" applyAlignment="1">
      <alignment vertical="center" wrapText="1"/>
    </xf>
    <xf numFmtId="0" fontId="49" fillId="27" borderId="106" xfId="46" applyFont="1" applyFill="1" applyBorder="1" applyAlignment="1">
      <alignment horizontal="left" vertical="center"/>
    </xf>
    <xf numFmtId="174" fontId="49" fillId="27" borderId="14" xfId="46" applyNumberFormat="1" applyFont="1" applyFill="1" applyBorder="1" applyAlignment="1">
      <alignment vertical="center"/>
    </xf>
    <xf numFmtId="43" fontId="49" fillId="27" borderId="42" xfId="28" applyFont="1" applyFill="1" applyBorder="1" applyAlignment="1">
      <alignment vertical="center" wrapText="1"/>
    </xf>
    <xf numFmtId="0" fontId="49" fillId="27" borderId="42" xfId="46" applyFont="1" applyFill="1" applyBorder="1" applyAlignment="1">
      <alignment horizontal="left" vertical="center"/>
    </xf>
    <xf numFmtId="0" fontId="49" fillId="27" borderId="76" xfId="46" applyFont="1" applyFill="1" applyBorder="1" applyAlignment="1">
      <alignment vertical="center" wrapText="1"/>
    </xf>
    <xf numFmtId="0" fontId="49" fillId="27" borderId="79" xfId="46" applyFont="1" applyFill="1" applyBorder="1" applyAlignment="1">
      <alignment horizontal="left" vertical="center"/>
    </xf>
    <xf numFmtId="0" fontId="49" fillId="27" borderId="79" xfId="46" applyFont="1" applyFill="1" applyBorder="1" applyAlignment="1">
      <alignment horizontal="left" vertical="center" indent="1"/>
    </xf>
    <xf numFmtId="43" fontId="49" fillId="27" borderId="79" xfId="28" applyFont="1" applyFill="1" applyBorder="1" applyAlignment="1">
      <alignment vertical="center"/>
    </xf>
    <xf numFmtId="0" fontId="49" fillId="27" borderId="0" xfId="46" applyFont="1" applyFill="1" applyBorder="1" applyAlignment="1">
      <alignment horizontal="left" vertical="center" wrapText="1" indent="1"/>
    </xf>
    <xf numFmtId="43" fontId="49" fillId="0" borderId="0" xfId="46" applyNumberFormat="1" applyFont="1" applyAlignment="1">
      <alignment horizontal="left" wrapText="1"/>
    </xf>
    <xf numFmtId="0" fontId="49" fillId="25" borderId="79" xfId="46" applyFont="1" applyFill="1" applyBorder="1" applyAlignment="1">
      <alignment horizontal="left" vertical="center"/>
    </xf>
    <xf numFmtId="0" fontId="49" fillId="25" borderId="79" xfId="46" applyFont="1" applyFill="1" applyBorder="1" applyAlignment="1">
      <alignment horizontal="left" vertical="center" indent="1"/>
    </xf>
    <xf numFmtId="43" fontId="49" fillId="25" borderId="106" xfId="28" applyFont="1" applyFill="1" applyBorder="1" applyAlignment="1">
      <alignment vertical="center"/>
    </xf>
    <xf numFmtId="43" fontId="49" fillId="25" borderId="79" xfId="28" applyFont="1" applyFill="1" applyBorder="1" applyAlignment="1">
      <alignment vertical="center"/>
    </xf>
    <xf numFmtId="0" fontId="49" fillId="25" borderId="0" xfId="46" applyFont="1" applyFill="1" applyBorder="1" applyAlignment="1">
      <alignment horizontal="left" vertical="center" wrapText="1" indent="1"/>
    </xf>
    <xf numFmtId="0" fontId="83" fillId="0" borderId="78" xfId="46" applyFont="1" applyBorder="1" applyAlignment="1">
      <alignment horizontal="left" vertical="center"/>
    </xf>
    <xf numFmtId="0" fontId="83" fillId="0" borderId="79" xfId="46" applyFont="1" applyBorder="1" applyAlignment="1">
      <alignment horizontal="left" vertical="center"/>
    </xf>
    <xf numFmtId="0" fontId="83" fillId="0" borderId="79" xfId="46" applyFont="1" applyBorder="1"/>
    <xf numFmtId="0" fontId="83" fillId="0" borderId="79" xfId="46" applyFont="1" applyBorder="1" applyAlignment="1">
      <alignment horizontal="left" vertical="center" indent="1"/>
    </xf>
    <xf numFmtId="43" fontId="83" fillId="23" borderId="79" xfId="28" applyFont="1" applyFill="1" applyBorder="1" applyAlignment="1">
      <alignment vertical="center"/>
    </xf>
    <xf numFmtId="43" fontId="83" fillId="0" borderId="79" xfId="28" applyFont="1" applyFill="1" applyBorder="1" applyAlignment="1">
      <alignment vertical="center"/>
    </xf>
    <xf numFmtId="0" fontId="83" fillId="0" borderId="91" xfId="46" applyFont="1" applyBorder="1" applyAlignment="1">
      <alignment horizontal="left" vertical="center" wrapText="1"/>
    </xf>
    <xf numFmtId="0" fontId="83" fillId="0" borderId="85" xfId="46" applyFont="1" applyBorder="1" applyAlignment="1">
      <alignment horizontal="left" vertical="center"/>
    </xf>
    <xf numFmtId="0" fontId="83" fillId="0" borderId="86" xfId="46" applyFont="1" applyBorder="1" applyAlignment="1">
      <alignment horizontal="left" vertical="center"/>
    </xf>
    <xf numFmtId="0" fontId="83" fillId="0" borderId="86" xfId="46" applyFont="1" applyBorder="1" applyAlignment="1">
      <alignment horizontal="left" vertical="center" indent="1"/>
    </xf>
    <xf numFmtId="43" fontId="83" fillId="23" borderId="86" xfId="28" applyFont="1" applyFill="1" applyBorder="1" applyAlignment="1">
      <alignment vertical="center"/>
    </xf>
    <xf numFmtId="43" fontId="83" fillId="0" borderId="86" xfId="28" applyFont="1" applyFill="1" applyBorder="1" applyAlignment="1">
      <alignment vertical="center"/>
    </xf>
    <xf numFmtId="0" fontId="83" fillId="0" borderId="88" xfId="46" applyFont="1" applyBorder="1" applyAlignment="1">
      <alignment horizontal="left" vertical="center" wrapText="1"/>
    </xf>
    <xf numFmtId="0" fontId="49" fillId="0" borderId="0" xfId="46" applyFont="1" applyFill="1" applyBorder="1"/>
    <xf numFmtId="0" fontId="49" fillId="0" borderId="79" xfId="46" applyFont="1" applyFill="1" applyBorder="1" applyAlignment="1">
      <alignment horizontal="left" vertical="center"/>
    </xf>
    <xf numFmtId="0" fontId="49" fillId="0" borderId="188" xfId="46" applyFont="1" applyFill="1" applyBorder="1" applyAlignment="1">
      <alignment horizontal="left" vertical="center" indent="1"/>
    </xf>
    <xf numFmtId="0" fontId="49" fillId="0" borderId="189" xfId="46" applyFont="1" applyFill="1" applyBorder="1" applyAlignment="1">
      <alignment horizontal="left" vertical="center"/>
    </xf>
    <xf numFmtId="0" fontId="49" fillId="0" borderId="190" xfId="46" applyFont="1" applyFill="1" applyBorder="1" applyAlignment="1">
      <alignment horizontal="left" vertical="center"/>
    </xf>
    <xf numFmtId="172" fontId="49" fillId="0" borderId="190" xfId="46" applyNumberFormat="1" applyFont="1" applyFill="1" applyBorder="1" applyAlignment="1">
      <alignment horizontal="left" vertical="center" indent="1"/>
    </xf>
    <xf numFmtId="0" fontId="49" fillId="0" borderId="190" xfId="46" applyFont="1" applyFill="1" applyBorder="1" applyAlignment="1">
      <alignment horizontal="left" vertical="center" indent="1"/>
    </xf>
    <xf numFmtId="43" fontId="49" fillId="0" borderId="190" xfId="28" applyFont="1" applyFill="1" applyBorder="1" applyAlignment="1">
      <alignment horizontal="left" vertical="center"/>
    </xf>
    <xf numFmtId="43" fontId="49" fillId="24" borderId="190" xfId="28" applyFont="1" applyFill="1" applyBorder="1" applyAlignment="1">
      <alignment horizontal="left" vertical="center"/>
    </xf>
    <xf numFmtId="0" fontId="49" fillId="27" borderId="192" xfId="46" applyFont="1" applyFill="1" applyBorder="1" applyAlignment="1">
      <alignment vertical="center"/>
    </xf>
    <xf numFmtId="0" fontId="49" fillId="27" borderId="191" xfId="46" applyFont="1" applyFill="1" applyBorder="1"/>
    <xf numFmtId="0" fontId="49" fillId="0" borderId="192" xfId="46" applyFont="1" applyBorder="1" applyAlignment="1">
      <alignment vertical="center"/>
    </xf>
    <xf numFmtId="43" fontId="49" fillId="27" borderId="192" xfId="28" applyFont="1" applyFill="1" applyBorder="1" applyAlignment="1">
      <alignment vertical="center" wrapText="1"/>
    </xf>
    <xf numFmtId="0" fontId="49" fillId="0" borderId="91" xfId="46" applyFont="1" applyBorder="1" applyAlignment="1">
      <alignment horizontal="left" vertical="center"/>
    </xf>
    <xf numFmtId="0" fontId="49" fillId="31" borderId="89" xfId="46" applyFont="1" applyFill="1" applyBorder="1" applyAlignment="1">
      <alignment horizontal="left" vertical="center"/>
    </xf>
    <xf numFmtId="172" fontId="49" fillId="31" borderId="89" xfId="46" applyNumberFormat="1" applyFont="1" applyFill="1" applyBorder="1" applyAlignment="1">
      <alignment horizontal="left" vertical="center" indent="1"/>
    </xf>
    <xf numFmtId="0" fontId="49" fillId="31" borderId="89" xfId="46" applyFont="1" applyFill="1" applyBorder="1" applyAlignment="1">
      <alignment horizontal="left" vertical="center" indent="1"/>
    </xf>
    <xf numFmtId="173" fontId="76" fillId="0" borderId="79" xfId="46" applyNumberFormat="1" applyFont="1" applyFill="1" applyBorder="1" applyAlignment="1">
      <alignment vertical="center"/>
    </xf>
    <xf numFmtId="2" fontId="49" fillId="0" borderId="79" xfId="46" applyNumberFormat="1" applyFont="1" applyFill="1" applyBorder="1" applyAlignment="1">
      <alignment vertical="center"/>
    </xf>
    <xf numFmtId="0" fontId="49" fillId="0" borderId="0" xfId="46" applyFont="1" applyFill="1" applyBorder="1" applyAlignment="1">
      <alignment horizontal="left" vertical="center"/>
    </xf>
    <xf numFmtId="173" fontId="49" fillId="0" borderId="14" xfId="46" applyNumberFormat="1" applyFont="1" applyFill="1" applyBorder="1" applyAlignment="1">
      <alignment vertical="center"/>
    </xf>
    <xf numFmtId="0" fontId="49" fillId="0" borderId="99" xfId="46" applyFont="1" applyFill="1" applyBorder="1" applyAlignment="1">
      <alignment vertical="center"/>
    </xf>
    <xf numFmtId="173" fontId="49" fillId="0" borderId="99" xfId="46" applyNumberFormat="1" applyFont="1" applyFill="1" applyBorder="1" applyAlignment="1">
      <alignment vertical="center"/>
    </xf>
    <xf numFmtId="175" fontId="76" fillId="0" borderId="99" xfId="46" applyNumberFormat="1" applyFont="1" applyFill="1" applyBorder="1" applyAlignment="1">
      <alignment vertical="center" wrapText="1"/>
    </xf>
    <xf numFmtId="0" fontId="49" fillId="0" borderId="11" xfId="46" applyFont="1" applyFill="1" applyBorder="1" applyAlignment="1">
      <alignment horizontal="left" vertical="center"/>
    </xf>
    <xf numFmtId="0" fontId="49" fillId="0" borderId="99" xfId="46" applyFont="1" applyFill="1" applyBorder="1" applyAlignment="1">
      <alignment horizontal="left" vertical="center"/>
    </xf>
    <xf numFmtId="0" fontId="49" fillId="0" borderId="12" xfId="46" applyFont="1" applyFill="1" applyBorder="1" applyAlignment="1">
      <alignment vertical="center"/>
    </xf>
    <xf numFmtId="173" fontId="76" fillId="0" borderId="106" xfId="46" applyNumberFormat="1" applyFont="1" applyFill="1" applyBorder="1" applyAlignment="1">
      <alignment vertical="center"/>
    </xf>
    <xf numFmtId="0" fontId="75" fillId="0" borderId="79" xfId="46" applyFont="1" applyBorder="1" applyAlignment="1">
      <alignment vertical="center"/>
    </xf>
    <xf numFmtId="43" fontId="30" fillId="0" borderId="0" xfId="28" applyFont="1" applyFill="1" applyAlignment="1">
      <alignment vertical="center"/>
    </xf>
    <xf numFmtId="43" fontId="39" fillId="0" borderId="163" xfId="28" applyFont="1" applyBorder="1" applyAlignment="1">
      <alignment horizontal="center" vertical="justify"/>
    </xf>
    <xf numFmtId="43" fontId="31" fillId="0" borderId="0" xfId="28" applyFont="1" applyFill="1" applyAlignment="1">
      <alignment horizontal="right" vertical="center"/>
    </xf>
    <xf numFmtId="43" fontId="11" fillId="26" borderId="176" xfId="28" applyFont="1" applyFill="1" applyBorder="1" applyAlignment="1" applyProtection="1">
      <alignment horizontal="left" vertical="center" indent="1"/>
      <protection locked="0"/>
    </xf>
    <xf numFmtId="165" fontId="30" fillId="0" borderId="36" xfId="50" applyNumberFormat="1" applyFont="1" applyBorder="1" applyAlignment="1">
      <alignment vertical="center"/>
    </xf>
    <xf numFmtId="3" fontId="30" fillId="0" borderId="0" xfId="0" applyNumberFormat="1" applyFont="1" applyBorder="1" applyAlignment="1">
      <alignment horizontal="left" vertical="center"/>
    </xf>
    <xf numFmtId="3" fontId="30" fillId="0" borderId="0" xfId="0" applyNumberFormat="1" applyFont="1" applyBorder="1" applyAlignment="1">
      <alignment horizontal="left" vertical="center" wrapText="1"/>
    </xf>
    <xf numFmtId="0" fontId="30" fillId="0" borderId="0" xfId="46" applyFont="1"/>
    <xf numFmtId="0" fontId="30" fillId="0" borderId="0" xfId="46" applyFont="1" applyAlignment="1">
      <alignment horizontal="right" indent="1"/>
    </xf>
    <xf numFmtId="43" fontId="30" fillId="0" borderId="0" xfId="46" applyNumberFormat="1" applyFont="1"/>
    <xf numFmtId="2" fontId="30" fillId="0" borderId="0" xfId="46" applyNumberFormat="1" applyFont="1"/>
    <xf numFmtId="166" fontId="30" fillId="0" borderId="0" xfId="46" applyNumberFormat="1" applyFont="1"/>
    <xf numFmtId="166" fontId="30" fillId="0" borderId="0" xfId="46" applyNumberFormat="1" applyFont="1" applyAlignment="1">
      <alignment horizontal="right" indent="1"/>
    </xf>
    <xf numFmtId="43" fontId="5" fillId="0" borderId="0" xfId="50" applyFont="1" applyAlignment="1">
      <alignment vertical="center"/>
    </xf>
    <xf numFmtId="166" fontId="30" fillId="0" borderId="110" xfId="46" applyNumberFormat="1" applyFont="1" applyBorder="1"/>
    <xf numFmtId="166" fontId="30" fillId="0" borderId="109" xfId="46" applyNumberFormat="1" applyFont="1" applyBorder="1"/>
    <xf numFmtId="0" fontId="30" fillId="0" borderId="109" xfId="46" applyFont="1" applyBorder="1"/>
    <xf numFmtId="0" fontId="30" fillId="0" borderId="47" xfId="46" applyFont="1" applyBorder="1" applyAlignment="1">
      <alignment horizontal="left" vertical="center" wrapText="1"/>
    </xf>
    <xf numFmtId="1" fontId="30" fillId="0" borderId="0" xfId="46" applyNumberFormat="1" applyFont="1"/>
    <xf numFmtId="0" fontId="30" fillId="0" borderId="36" xfId="46" applyFont="1" applyBorder="1"/>
    <xf numFmtId="166" fontId="32" fillId="0" borderId="0" xfId="46" applyNumberFormat="1" applyFont="1" applyAlignment="1">
      <alignment horizontal="right" indent="1"/>
    </xf>
    <xf numFmtId="0" fontId="30" fillId="0" borderId="59" xfId="46" applyFont="1" applyBorder="1"/>
    <xf numFmtId="0" fontId="30" fillId="0" borderId="0" xfId="46" applyFont="1" applyAlignment="1">
      <alignment horizontal="center" vertical="center" wrapText="1"/>
    </xf>
    <xf numFmtId="166" fontId="31" fillId="0" borderId="16" xfId="50" applyNumberFormat="1" applyFont="1" applyBorder="1" applyAlignment="1">
      <alignment vertical="center"/>
    </xf>
    <xf numFmtId="2" fontId="31" fillId="0" borderId="0" xfId="46" applyNumberFormat="1" applyFont="1" applyAlignment="1">
      <alignment vertical="center"/>
    </xf>
    <xf numFmtId="0" fontId="30" fillId="0" borderId="0" xfId="46" applyFont="1" applyAlignment="1">
      <alignment vertical="center"/>
    </xf>
    <xf numFmtId="0" fontId="30" fillId="0" borderId="53" xfId="46" applyFont="1" applyBorder="1"/>
    <xf numFmtId="166" fontId="32" fillId="0" borderId="53" xfId="46" applyNumberFormat="1" applyFont="1" applyBorder="1" applyAlignment="1">
      <alignment horizontal="right" indent="1"/>
    </xf>
    <xf numFmtId="0" fontId="30" fillId="0" borderId="55" xfId="46" applyFont="1" applyBorder="1"/>
    <xf numFmtId="1" fontId="30" fillId="25" borderId="195" xfId="46" applyNumberFormat="1" applyFont="1" applyFill="1" applyBorder="1" applyAlignment="1">
      <alignment horizontal="right" vertical="center" indent="1"/>
    </xf>
    <xf numFmtId="1" fontId="30" fillId="25" borderId="195" xfId="46" applyNumberFormat="1" applyFont="1" applyFill="1" applyBorder="1" applyAlignment="1">
      <alignment vertical="center"/>
    </xf>
    <xf numFmtId="10" fontId="30" fillId="25" borderId="195" xfId="46" applyNumberFormat="1" applyFont="1" applyFill="1" applyBorder="1" applyAlignment="1">
      <alignment vertical="center"/>
    </xf>
    <xf numFmtId="0" fontId="30" fillId="25" borderId="23" xfId="46" applyFont="1" applyFill="1" applyBorder="1" applyAlignment="1">
      <alignment horizontal="left" vertical="center" indent="1"/>
    </xf>
    <xf numFmtId="0" fontId="30" fillId="25" borderId="129" xfId="46" applyFont="1" applyFill="1" applyBorder="1" applyAlignment="1">
      <alignment vertical="center" wrapText="1"/>
    </xf>
    <xf numFmtId="177" fontId="30" fillId="0" borderId="136" xfId="46" applyNumberFormat="1" applyFont="1" applyBorder="1" applyAlignment="1">
      <alignment vertical="center" wrapText="1"/>
    </xf>
    <xf numFmtId="176" fontId="30" fillId="0" borderId="137" xfId="46" applyNumberFormat="1" applyFont="1" applyBorder="1" applyAlignment="1">
      <alignment vertical="center" wrapText="1"/>
    </xf>
    <xf numFmtId="166" fontId="30" fillId="0" borderId="138" xfId="46" applyNumberFormat="1" applyFont="1" applyBorder="1" applyAlignment="1">
      <alignment vertical="center" wrapText="1"/>
    </xf>
    <xf numFmtId="0" fontId="30" fillId="0" borderId="59" xfId="46" applyFont="1" applyBorder="1" applyAlignment="1">
      <alignment vertical="center" wrapText="1"/>
    </xf>
    <xf numFmtId="1" fontId="30" fillId="0" borderId="195" xfId="46" applyNumberFormat="1" applyFont="1" applyBorder="1" applyAlignment="1">
      <alignment horizontal="right" vertical="center" indent="1"/>
    </xf>
    <xf numFmtId="1" fontId="30" fillId="0" borderId="195" xfId="46" applyNumberFormat="1" applyFont="1" applyBorder="1" applyAlignment="1">
      <alignment vertical="center"/>
    </xf>
    <xf numFmtId="10" fontId="30" fillId="0" borderId="195" xfId="46" applyNumberFormat="1" applyFont="1" applyBorder="1" applyAlignment="1">
      <alignment vertical="center"/>
    </xf>
    <xf numFmtId="0" fontId="30" fillId="0" borderId="23" xfId="46" applyFont="1" applyBorder="1" applyAlignment="1">
      <alignment horizontal="left" vertical="center" indent="1"/>
    </xf>
    <xf numFmtId="0" fontId="30" fillId="0" borderId="129" xfId="46" applyFont="1" applyBorder="1" applyAlignment="1">
      <alignment vertical="center" wrapText="1"/>
    </xf>
    <xf numFmtId="177" fontId="30" fillId="0" borderId="135" xfId="46" applyNumberFormat="1" applyFont="1" applyBorder="1" applyAlignment="1">
      <alignment vertical="center" wrapText="1"/>
    </xf>
    <xf numFmtId="43" fontId="30" fillId="0" borderId="0" xfId="50" applyFont="1" applyBorder="1" applyAlignment="1">
      <alignment vertical="center" wrapText="1"/>
    </xf>
    <xf numFmtId="166" fontId="30" fillId="0" borderId="0" xfId="50" applyNumberFormat="1" applyFont="1" applyBorder="1" applyAlignment="1">
      <alignment vertical="center" wrapText="1"/>
    </xf>
    <xf numFmtId="177" fontId="30" fillId="0" borderId="23" xfId="46" applyNumberFormat="1" applyFont="1" applyBorder="1" applyAlignment="1">
      <alignment vertical="center" wrapText="1"/>
    </xf>
    <xf numFmtId="43" fontId="30" fillId="0" borderId="0" xfId="50" applyFont="1" applyFill="1" applyBorder="1" applyAlignment="1">
      <alignment vertical="center" wrapText="1"/>
    </xf>
    <xf numFmtId="166" fontId="30" fillId="0" borderId="0" xfId="50" applyNumberFormat="1" applyFont="1" applyFill="1" applyBorder="1" applyAlignment="1">
      <alignment vertical="center" wrapText="1"/>
    </xf>
    <xf numFmtId="1" fontId="30" fillId="25" borderId="140" xfId="46" applyNumberFormat="1" applyFont="1" applyFill="1" applyBorder="1" applyAlignment="1">
      <alignment horizontal="right" vertical="center" indent="1"/>
    </xf>
    <xf numFmtId="1" fontId="30" fillId="25" borderId="140" xfId="46" applyNumberFormat="1" applyFont="1" applyFill="1" applyBorder="1" applyAlignment="1">
      <alignment vertical="center"/>
    </xf>
    <xf numFmtId="10" fontId="30" fillId="25" borderId="140" xfId="46" applyNumberFormat="1" applyFont="1" applyFill="1" applyBorder="1" applyAlignment="1">
      <alignment vertical="center"/>
    </xf>
    <xf numFmtId="0" fontId="30" fillId="25" borderId="129" xfId="46" quotePrefix="1" applyFont="1" applyFill="1" applyBorder="1" applyAlignment="1">
      <alignment vertical="center" wrapText="1"/>
    </xf>
    <xf numFmtId="1" fontId="30" fillId="31" borderId="140" xfId="46" applyNumberFormat="1" applyFont="1" applyFill="1" applyBorder="1" applyAlignment="1">
      <alignment horizontal="right" vertical="center" indent="1"/>
    </xf>
    <xf numFmtId="1" fontId="30" fillId="31" borderId="140" xfId="46" applyNumberFormat="1" applyFont="1" applyFill="1" applyBorder="1" applyAlignment="1">
      <alignment vertical="center"/>
    </xf>
    <xf numFmtId="10" fontId="30" fillId="31" borderId="140" xfId="46" applyNumberFormat="1" applyFont="1" applyFill="1" applyBorder="1" applyAlignment="1">
      <alignment vertical="center"/>
    </xf>
    <xf numFmtId="43" fontId="30" fillId="31" borderId="126" xfId="46" applyNumberFormat="1" applyFont="1" applyFill="1" applyBorder="1" applyAlignment="1">
      <alignment horizontal="left" vertical="center" indent="1"/>
    </xf>
    <xf numFmtId="0" fontId="30" fillId="31" borderId="130" xfId="46" applyFont="1" applyFill="1" applyBorder="1" applyAlignment="1">
      <alignment vertical="center" wrapText="1"/>
    </xf>
    <xf numFmtId="43" fontId="30" fillId="31" borderId="0" xfId="46" applyNumberFormat="1" applyFont="1" applyFill="1" applyAlignment="1">
      <alignment horizontal="left" vertical="center" indent="1"/>
    </xf>
    <xf numFmtId="0" fontId="30" fillId="31" borderId="129" xfId="46" applyFont="1" applyFill="1" applyBorder="1" applyAlignment="1">
      <alignment vertical="center" wrapText="1"/>
    </xf>
    <xf numFmtId="1" fontId="30" fillId="0" borderId="140" xfId="46" applyNumberFormat="1" applyFont="1" applyBorder="1" applyAlignment="1">
      <alignment horizontal="right" vertical="center" indent="1"/>
    </xf>
    <xf numFmtId="1" fontId="30" fillId="0" borderId="140" xfId="46" applyNumberFormat="1" applyFont="1" applyBorder="1" applyAlignment="1">
      <alignment vertical="center"/>
    </xf>
    <xf numFmtId="10" fontId="30" fillId="0" borderId="140" xfId="46" applyNumberFormat="1" applyFont="1" applyBorder="1" applyAlignment="1">
      <alignment vertical="center"/>
    </xf>
    <xf numFmtId="43" fontId="30" fillId="25" borderId="23" xfId="46" applyNumberFormat="1" applyFont="1" applyFill="1" applyBorder="1" applyAlignment="1">
      <alignment horizontal="left" vertical="center" indent="1"/>
    </xf>
    <xf numFmtId="0" fontId="30" fillId="0" borderId="126" xfId="46" applyFont="1" applyBorder="1" applyAlignment="1">
      <alignment horizontal="left" vertical="center" indent="1"/>
    </xf>
    <xf numFmtId="0" fontId="30" fillId="0" borderId="130" xfId="46" quotePrefix="1" applyFont="1" applyBorder="1" applyAlignment="1">
      <alignment vertical="center" wrapText="1"/>
    </xf>
    <xf numFmtId="0" fontId="30" fillId="0" borderId="130" xfId="46" applyFont="1" applyBorder="1" applyAlignment="1">
      <alignment vertical="center" wrapText="1"/>
    </xf>
    <xf numFmtId="1" fontId="30" fillId="25" borderId="142" xfId="46" applyNumberFormat="1" applyFont="1" applyFill="1" applyBorder="1" applyAlignment="1">
      <alignment horizontal="right" vertical="center" indent="1"/>
    </xf>
    <xf numFmtId="1" fontId="30" fillId="25" borderId="141" xfId="46" applyNumberFormat="1" applyFont="1" applyFill="1" applyBorder="1" applyAlignment="1">
      <alignment horizontal="right" vertical="center" indent="1"/>
    </xf>
    <xf numFmtId="1" fontId="30" fillId="25" borderId="141" xfId="46" applyNumberFormat="1" applyFont="1" applyFill="1" applyBorder="1" applyAlignment="1">
      <alignment vertical="center"/>
    </xf>
    <xf numFmtId="181" fontId="30" fillId="25" borderId="141" xfId="46" applyNumberFormat="1" applyFont="1" applyFill="1" applyBorder="1" applyAlignment="1">
      <alignment vertical="center"/>
    </xf>
    <xf numFmtId="0" fontId="30" fillId="0" borderId="142" xfId="46" applyFont="1" applyBorder="1" applyAlignment="1">
      <alignment horizontal="center" vertical="center" wrapText="1"/>
    </xf>
    <xf numFmtId="0" fontId="30" fillId="0" borderId="141" xfId="46" applyFont="1" applyBorder="1" applyAlignment="1">
      <alignment horizontal="center" vertical="center" wrapText="1"/>
    </xf>
    <xf numFmtId="0" fontId="30" fillId="0" borderId="141" xfId="46" applyFont="1" applyBorder="1" applyAlignment="1">
      <alignment horizontal="center" vertical="center"/>
    </xf>
    <xf numFmtId="0" fontId="30" fillId="0" borderId="141" xfId="46" quotePrefix="1" applyFont="1" applyBorder="1" applyAlignment="1">
      <alignment horizontal="center" vertical="center"/>
    </xf>
    <xf numFmtId="0" fontId="30" fillId="0" borderId="143" xfId="46" quotePrefix="1" applyFont="1" applyBorder="1" applyAlignment="1">
      <alignment horizontal="center" vertical="center"/>
    </xf>
    <xf numFmtId="0" fontId="30" fillId="0" borderId="110" xfId="46" applyFont="1" applyBorder="1" applyAlignment="1">
      <alignment vertical="center" wrapText="1"/>
    </xf>
    <xf numFmtId="176" fontId="30" fillId="0" borderId="36" xfId="46" applyNumberFormat="1" applyFont="1" applyBorder="1" applyAlignment="1">
      <alignment horizontal="center" vertical="center"/>
    </xf>
    <xf numFmtId="166" fontId="30" fillId="0" borderId="36" xfId="46" applyNumberFormat="1" applyFont="1" applyBorder="1" applyAlignment="1">
      <alignment horizontal="center" vertical="center"/>
    </xf>
    <xf numFmtId="0" fontId="30" fillId="0" borderId="47" xfId="46" applyFont="1" applyBorder="1" applyAlignment="1">
      <alignment horizontal="center" vertical="center"/>
    </xf>
    <xf numFmtId="0" fontId="30" fillId="0" borderId="107" xfId="46" applyFont="1" applyBorder="1" applyAlignment="1">
      <alignment horizontal="center" vertical="center" wrapText="1"/>
    </xf>
    <xf numFmtId="0" fontId="30" fillId="0" borderId="36" xfId="46" applyFont="1" applyBorder="1" applyAlignment="1">
      <alignment horizontal="center" vertical="center" wrapText="1"/>
    </xf>
    <xf numFmtId="0" fontId="30" fillId="0" borderId="36" xfId="46" applyFont="1" applyBorder="1" applyAlignment="1">
      <alignment horizontal="center" vertical="center"/>
    </xf>
    <xf numFmtId="0" fontId="30" fillId="0" borderId="36" xfId="46" quotePrefix="1" applyFont="1" applyBorder="1" applyAlignment="1">
      <alignment horizontal="center" vertical="center"/>
    </xf>
    <xf numFmtId="0" fontId="30" fillId="0" borderId="59" xfId="46" applyFont="1" applyBorder="1" applyAlignment="1">
      <alignment horizontal="center" vertical="center"/>
    </xf>
    <xf numFmtId="0" fontId="30" fillId="0" borderId="57" xfId="46" applyFont="1" applyBorder="1" applyAlignment="1">
      <alignment horizontal="center" vertical="center" wrapText="1"/>
    </xf>
    <xf numFmtId="166" fontId="30" fillId="0" borderId="110" xfId="50" applyNumberFormat="1" applyFont="1" applyBorder="1" applyAlignment="1">
      <alignment horizontal="right" vertical="center"/>
    </xf>
    <xf numFmtId="166" fontId="79" fillId="31" borderId="124" xfId="50" applyNumberFormat="1" applyFont="1" applyFill="1" applyBorder="1" applyAlignment="1">
      <alignment vertical="center"/>
    </xf>
    <xf numFmtId="181" fontId="79" fillId="31" borderId="122" xfId="46" applyNumberFormat="1" applyFont="1" applyFill="1" applyBorder="1" applyAlignment="1">
      <alignment vertical="center"/>
    </xf>
    <xf numFmtId="0" fontId="30" fillId="0" borderId="47" xfId="46" applyFont="1" applyBorder="1"/>
    <xf numFmtId="0" fontId="30" fillId="0" borderId="109" xfId="46" applyFont="1" applyBorder="1" applyAlignment="1">
      <alignment vertical="center" wrapText="1"/>
    </xf>
    <xf numFmtId="166" fontId="30" fillId="0" borderId="109" xfId="46" applyNumberFormat="1" applyFont="1" applyBorder="1" applyAlignment="1">
      <alignment horizontal="right" vertical="center" wrapText="1" indent="1"/>
    </xf>
    <xf numFmtId="0" fontId="30" fillId="0" borderId="108" xfId="46" applyFont="1" applyBorder="1" applyAlignment="1">
      <alignment horizontal="center" vertical="center" wrapText="1"/>
    </xf>
    <xf numFmtId="0" fontId="30" fillId="0" borderId="16" xfId="46" applyFont="1" applyBorder="1"/>
    <xf numFmtId="171" fontId="30" fillId="0" borderId="0" xfId="46" applyNumberFormat="1" applyFont="1"/>
    <xf numFmtId="166" fontId="79" fillId="31" borderId="107" xfId="50" applyNumberFormat="1" applyFont="1" applyFill="1" applyBorder="1" applyAlignment="1">
      <alignment horizontal="right" vertical="center"/>
    </xf>
    <xf numFmtId="49" fontId="30" fillId="0" borderId="15" xfId="46" applyNumberFormat="1" applyFont="1" applyBorder="1" applyAlignment="1">
      <alignment horizontal="left" vertical="center" indent="1"/>
    </xf>
    <xf numFmtId="0" fontId="30" fillId="0" borderId="0" xfId="46" applyFont="1" applyAlignment="1">
      <alignment vertical="center" wrapText="1"/>
    </xf>
    <xf numFmtId="176" fontId="30" fillId="0" borderId="36" xfId="46" applyNumberFormat="1" applyFont="1" applyBorder="1" applyAlignment="1">
      <alignment vertical="center" wrapText="1"/>
    </xf>
    <xf numFmtId="176" fontId="30" fillId="0" borderId="59" xfId="46" applyNumberFormat="1" applyFont="1" applyBorder="1" applyAlignment="1">
      <alignment vertical="center" wrapText="1"/>
    </xf>
    <xf numFmtId="43" fontId="30" fillId="0" borderId="160" xfId="50" applyFont="1" applyFill="1" applyBorder="1" applyAlignment="1">
      <alignment vertical="center"/>
    </xf>
    <xf numFmtId="43" fontId="30" fillId="0" borderId="36" xfId="50" applyFont="1" applyFill="1" applyBorder="1" applyAlignment="1">
      <alignment vertical="center"/>
    </xf>
    <xf numFmtId="43" fontId="30" fillId="0" borderId="159" xfId="58" applyFont="1" applyBorder="1" applyAlignment="1">
      <alignment vertical="center"/>
    </xf>
    <xf numFmtId="49" fontId="30" fillId="0" borderId="157" xfId="46" applyNumberFormat="1" applyFont="1" applyBorder="1" applyAlignment="1">
      <alignment horizontal="left" vertical="center" indent="1"/>
    </xf>
    <xf numFmtId="0" fontId="30" fillId="0" borderId="156" xfId="46" applyFont="1" applyBorder="1" applyAlignment="1">
      <alignment vertical="center" wrapText="1"/>
    </xf>
    <xf numFmtId="43" fontId="30" fillId="28" borderId="129" xfId="50" applyFont="1" applyFill="1" applyBorder="1" applyAlignment="1">
      <alignment vertical="center"/>
    </xf>
    <xf numFmtId="43" fontId="30" fillId="28" borderId="0" xfId="50" applyFont="1" applyFill="1" applyBorder="1" applyAlignment="1">
      <alignment vertical="center"/>
    </xf>
    <xf numFmtId="2" fontId="30" fillId="28" borderId="124" xfId="46" applyNumberFormat="1" applyFont="1" applyFill="1" applyBorder="1" applyAlignment="1">
      <alignment vertical="center"/>
    </xf>
    <xf numFmtId="2" fontId="30" fillId="28" borderId="122" xfId="46" applyNumberFormat="1" applyFont="1" applyFill="1" applyBorder="1" applyAlignment="1">
      <alignment vertical="center"/>
    </xf>
    <xf numFmtId="49" fontId="30" fillId="28" borderId="127" xfId="46" applyNumberFormat="1" applyFont="1" applyFill="1" applyBorder="1" applyAlignment="1">
      <alignment horizontal="left" vertical="center" indent="1"/>
    </xf>
    <xf numFmtId="0" fontId="30" fillId="28" borderId="130" xfId="46" applyFont="1" applyFill="1" applyBorder="1" applyAlignment="1">
      <alignment vertical="center" wrapText="1"/>
    </xf>
    <xf numFmtId="43" fontId="30" fillId="0" borderId="129" xfId="50" applyFont="1" applyFill="1" applyBorder="1" applyAlignment="1">
      <alignment vertical="center"/>
    </xf>
    <xf numFmtId="43" fontId="30" fillId="0" borderId="0" xfId="50" applyFont="1" applyFill="1" applyBorder="1" applyAlignment="1">
      <alignment vertical="center"/>
    </xf>
    <xf numFmtId="2" fontId="30" fillId="0" borderId="123" xfId="46" applyNumberFormat="1" applyFont="1" applyBorder="1" applyAlignment="1">
      <alignment vertical="center"/>
    </xf>
    <xf numFmtId="2" fontId="30" fillId="0" borderId="121" xfId="46" applyNumberFormat="1" applyFont="1" applyBorder="1" applyAlignment="1">
      <alignment vertical="center"/>
    </xf>
    <xf numFmtId="49" fontId="30" fillId="0" borderId="127" xfId="46" applyNumberFormat="1" applyFont="1" applyBorder="1" applyAlignment="1">
      <alignment horizontal="left" vertical="center" indent="1"/>
    </xf>
    <xf numFmtId="181" fontId="30" fillId="28" borderId="122" xfId="46" applyNumberFormat="1" applyFont="1" applyFill="1" applyBorder="1" applyAlignment="1">
      <alignment vertical="center"/>
    </xf>
    <xf numFmtId="43" fontId="30" fillId="0" borderId="128" xfId="50" applyFont="1" applyFill="1" applyBorder="1" applyAlignment="1">
      <alignment vertical="center"/>
    </xf>
    <xf numFmtId="43" fontId="30" fillId="0" borderId="53" xfId="50" applyFont="1" applyFill="1" applyBorder="1" applyAlignment="1">
      <alignment vertical="center"/>
    </xf>
    <xf numFmtId="2" fontId="30" fillId="0" borderId="120" xfId="46" applyNumberFormat="1" applyFont="1" applyBorder="1" applyAlignment="1">
      <alignment vertical="center"/>
    </xf>
    <xf numFmtId="181" fontId="30" fillId="0" borderId="119" xfId="46" applyNumberFormat="1" applyFont="1" applyBorder="1" applyAlignment="1">
      <alignment vertical="center"/>
    </xf>
    <xf numFmtId="49" fontId="30" fillId="0" borderId="125" xfId="46" applyNumberFormat="1" applyFont="1" applyBorder="1" applyAlignment="1">
      <alignment horizontal="left" vertical="center" indent="1"/>
    </xf>
    <xf numFmtId="0" fontId="30" fillId="0" borderId="131" xfId="46" applyFont="1" applyBorder="1" applyAlignment="1">
      <alignment vertical="center" wrapText="1"/>
    </xf>
    <xf numFmtId="2" fontId="30" fillId="0" borderId="118" xfId="46" applyNumberFormat="1" applyFont="1" applyBorder="1" applyAlignment="1">
      <alignment vertical="center"/>
    </xf>
    <xf numFmtId="2" fontId="30" fillId="0" borderId="117" xfId="46" applyNumberFormat="1" applyFont="1" applyBorder="1" applyAlignment="1">
      <alignment vertical="center"/>
    </xf>
    <xf numFmtId="166" fontId="30" fillId="0" borderId="109" xfId="46" applyNumberFormat="1" applyFont="1" applyBorder="1" applyAlignment="1">
      <alignment horizontal="right" vertical="center" indent="1"/>
    </xf>
    <xf numFmtId="0" fontId="30" fillId="0" borderId="36" xfId="46" applyFont="1" applyBorder="1" applyAlignment="1">
      <alignment horizontal="left" indent="1"/>
    </xf>
    <xf numFmtId="0" fontId="30" fillId="0" borderId="36" xfId="46" applyFont="1" applyBorder="1" applyAlignment="1">
      <alignment horizontal="center"/>
    </xf>
    <xf numFmtId="0" fontId="30" fillId="0" borderId="53" xfId="46" applyFont="1" applyBorder="1" applyAlignment="1">
      <alignment horizontal="left" indent="1"/>
    </xf>
    <xf numFmtId="0" fontId="30" fillId="0" borderId="53" xfId="46" applyFont="1" applyBorder="1" applyAlignment="1">
      <alignment horizontal="center"/>
    </xf>
    <xf numFmtId="0" fontId="30" fillId="0" borderId="0" xfId="46" applyFont="1" applyAlignment="1">
      <alignment horizontal="left" indent="1"/>
    </xf>
    <xf numFmtId="0" fontId="30" fillId="0" borderId="0" xfId="46" applyFont="1" applyAlignment="1">
      <alignment horizontal="right" indent="2"/>
    </xf>
    <xf numFmtId="43" fontId="72" fillId="30" borderId="31" xfId="55" applyFont="1" applyFill="1" applyBorder="1" applyAlignment="1" applyProtection="1">
      <alignment horizontal="center" vertical="center" wrapText="1"/>
      <protection hidden="1"/>
    </xf>
    <xf numFmtId="43" fontId="71" fillId="30" borderId="42" xfId="55" applyFont="1" applyFill="1" applyBorder="1" applyAlignment="1" applyProtection="1">
      <alignment horizontal="center" vertical="center" wrapText="1"/>
      <protection hidden="1"/>
    </xf>
    <xf numFmtId="43" fontId="72" fillId="30" borderId="29" xfId="55" applyFont="1" applyFill="1" applyBorder="1" applyAlignment="1" applyProtection="1">
      <alignment vertical="center"/>
      <protection hidden="1"/>
    </xf>
    <xf numFmtId="43" fontId="71" fillId="30" borderId="197" xfId="55" applyFont="1" applyFill="1" applyBorder="1" applyAlignment="1" applyProtection="1">
      <alignment horizontal="center" vertical="center" wrapText="1"/>
      <protection hidden="1"/>
    </xf>
    <xf numFmtId="43" fontId="71" fillId="0" borderId="198" xfId="28" applyFont="1" applyFill="1" applyBorder="1" applyAlignment="1" applyProtection="1">
      <alignment vertical="center"/>
      <protection hidden="1"/>
    </xf>
    <xf numFmtId="43" fontId="71" fillId="25" borderId="199" xfId="28" applyFont="1" applyFill="1" applyBorder="1" applyAlignment="1" applyProtection="1">
      <alignment vertical="center"/>
      <protection hidden="1"/>
    </xf>
    <xf numFmtId="43" fontId="72" fillId="30" borderId="199" xfId="55" applyFont="1" applyFill="1" applyBorder="1" applyAlignment="1" applyProtection="1">
      <alignment vertical="center"/>
      <protection hidden="1"/>
    </xf>
    <xf numFmtId="43" fontId="56" fillId="25" borderId="0" xfId="28" applyFont="1" applyFill="1" applyBorder="1" applyAlignment="1">
      <alignment vertical="center"/>
    </xf>
    <xf numFmtId="0" fontId="30" fillId="0" borderId="200" xfId="0" applyFont="1" applyBorder="1" applyAlignment="1">
      <alignment horizontal="left" vertical="center"/>
    </xf>
    <xf numFmtId="0" fontId="30" fillId="0" borderId="201" xfId="0" applyFont="1" applyBorder="1" applyAlignment="1">
      <alignment horizontal="left" vertical="center"/>
    </xf>
    <xf numFmtId="0" fontId="33" fillId="0" borderId="201" xfId="0" applyFont="1" applyBorder="1" applyAlignment="1">
      <alignment horizontal="left" vertical="center"/>
    </xf>
    <xf numFmtId="0" fontId="32" fillId="0" borderId="201" xfId="0" applyFont="1" applyBorder="1" applyAlignment="1">
      <alignment horizontal="left" vertical="center"/>
    </xf>
    <xf numFmtId="0" fontId="30" fillId="0" borderId="201" xfId="0" applyFont="1" applyBorder="1" applyAlignment="1">
      <alignment horizontal="left" vertical="center" wrapText="1"/>
    </xf>
    <xf numFmtId="0" fontId="33" fillId="0" borderId="202" xfId="0" applyFont="1" applyBorder="1" applyAlignment="1">
      <alignment horizontal="left" vertical="center"/>
    </xf>
    <xf numFmtId="0" fontId="34" fillId="0" borderId="201" xfId="0" applyFont="1" applyBorder="1" applyAlignment="1">
      <alignment horizontal="left" vertical="center"/>
    </xf>
    <xf numFmtId="0" fontId="34" fillId="0" borderId="201" xfId="0" applyFont="1" applyBorder="1" applyAlignment="1">
      <alignment horizontal="right" vertical="center"/>
    </xf>
    <xf numFmtId="43" fontId="31" fillId="0" borderId="203" xfId="28" applyFont="1" applyBorder="1" applyAlignment="1">
      <alignment horizontal="center" vertical="center" wrapText="1"/>
    </xf>
    <xf numFmtId="164" fontId="30" fillId="0" borderId="204" xfId="51" applyNumberFormat="1" applyFont="1" applyFill="1" applyBorder="1" applyAlignment="1" applyProtection="1">
      <alignment vertical="center"/>
      <protection hidden="1"/>
    </xf>
    <xf numFmtId="43" fontId="30" fillId="0" borderId="204" xfId="51" applyFont="1" applyFill="1" applyBorder="1" applyAlignment="1" applyProtection="1">
      <alignment vertical="center"/>
      <protection hidden="1"/>
    </xf>
    <xf numFmtId="43" fontId="32" fillId="0" borderId="205" xfId="28" applyFont="1" applyFill="1" applyBorder="1" applyAlignment="1">
      <alignment vertical="center"/>
    </xf>
    <xf numFmtId="43" fontId="31" fillId="0" borderId="206" xfId="28" applyFont="1" applyBorder="1" applyAlignment="1">
      <alignment horizontal="center" vertical="center" wrapText="1"/>
    </xf>
    <xf numFmtId="43" fontId="30" fillId="0" borderId="64" xfId="28" applyFont="1" applyBorder="1" applyAlignment="1">
      <alignment vertical="center"/>
    </xf>
    <xf numFmtId="43" fontId="30" fillId="0" borderId="204" xfId="28" applyFont="1" applyFill="1" applyBorder="1" applyAlignment="1" applyProtection="1">
      <alignment vertical="center"/>
      <protection hidden="1"/>
    </xf>
    <xf numFmtId="0" fontId="52" fillId="0" borderId="16" xfId="37" quotePrefix="1" applyFill="1" applyBorder="1" applyAlignment="1" applyProtection="1">
      <alignment horizontal="left" vertical="center" indent="1"/>
      <protection locked="0"/>
    </xf>
    <xf numFmtId="0" fontId="52" fillId="25" borderId="16" xfId="37" applyFill="1" applyBorder="1" applyAlignment="1" applyProtection="1">
      <alignment horizontal="left" vertical="center" indent="1"/>
      <protection locked="0"/>
    </xf>
    <xf numFmtId="0" fontId="52" fillId="0" borderId="16" xfId="37" applyFill="1" applyBorder="1" applyAlignment="1" applyProtection="1">
      <alignment horizontal="left" vertical="center" indent="1"/>
      <protection locked="0"/>
    </xf>
    <xf numFmtId="0" fontId="52" fillId="25" borderId="16" xfId="37" quotePrefix="1" applyFill="1" applyBorder="1" applyAlignment="1" applyProtection="1">
      <alignment horizontal="left" vertical="center" indent="1"/>
      <protection locked="0"/>
    </xf>
    <xf numFmtId="15" fontId="5" fillId="0" borderId="144" xfId="53" applyNumberFormat="1" applyBorder="1" applyAlignment="1">
      <alignment horizontal="center" vertical="center"/>
    </xf>
    <xf numFmtId="0" fontId="5" fillId="0" borderId="144" xfId="53" applyBorder="1" applyAlignment="1">
      <alignment vertical="center"/>
    </xf>
    <xf numFmtId="0" fontId="5" fillId="29" borderId="144" xfId="53" applyFill="1" applyBorder="1" applyAlignment="1">
      <alignment horizontal="center" vertical="center"/>
    </xf>
    <xf numFmtId="0" fontId="5" fillId="29" borderId="144" xfId="53" applyFill="1" applyBorder="1" applyAlignment="1">
      <alignment vertical="center"/>
    </xf>
    <xf numFmtId="166" fontId="32" fillId="28" borderId="15" xfId="28" applyNumberFormat="1" applyFont="1" applyFill="1" applyBorder="1" applyAlignment="1" applyProtection="1">
      <alignment horizontal="left" vertical="center"/>
      <protection locked="0"/>
    </xf>
    <xf numFmtId="43" fontId="32" fillId="25" borderId="15" xfId="28" applyFont="1" applyFill="1" applyBorder="1" applyAlignment="1" applyProtection="1">
      <alignment horizontal="center" vertical="center" wrapText="1"/>
      <protection hidden="1"/>
    </xf>
    <xf numFmtId="0" fontId="32" fillId="25" borderId="15" xfId="0" applyFont="1" applyFill="1" applyBorder="1" applyAlignment="1" applyProtection="1">
      <alignment horizontal="center" vertical="center" wrapText="1"/>
      <protection hidden="1"/>
    </xf>
    <xf numFmtId="43" fontId="32" fillId="25" borderId="15" xfId="28" applyFont="1" applyFill="1" applyBorder="1" applyAlignment="1">
      <alignment horizontal="center" vertical="center" wrapText="1"/>
    </xf>
    <xf numFmtId="43" fontId="30" fillId="0" borderId="15" xfId="28"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43" fontId="6" fillId="0" borderId="144" xfId="28" applyFont="1" applyFill="1" applyBorder="1" applyAlignment="1">
      <alignment vertical="center"/>
    </xf>
    <xf numFmtId="0" fontId="50" fillId="0" borderId="144" xfId="37" applyFont="1" applyFill="1" applyBorder="1" applyAlignment="1" applyProtection="1">
      <alignment vertical="center"/>
    </xf>
    <xf numFmtId="0" fontId="5" fillId="0" borderId="145" xfId="53" applyFont="1" applyFill="1" applyBorder="1" applyAlignment="1">
      <alignment horizontal="left" vertical="center"/>
    </xf>
    <xf numFmtId="0" fontId="5" fillId="0" borderId="146" xfId="53" applyFont="1" applyFill="1" applyBorder="1" applyAlignment="1">
      <alignment horizontal="left" vertical="center"/>
    </xf>
    <xf numFmtId="0" fontId="30" fillId="0" borderId="0" xfId="0" applyFont="1" applyAlignment="1">
      <alignment wrapText="1"/>
    </xf>
    <xf numFmtId="0" fontId="30" fillId="0" borderId="15" xfId="0" applyFont="1" applyBorder="1" applyAlignment="1" applyProtection="1">
      <alignment horizontal="left" vertical="center" indent="1"/>
      <protection locked="0"/>
    </xf>
    <xf numFmtId="43" fontId="30" fillId="0" borderId="0" xfId="0" applyNumberFormat="1" applyFont="1" applyAlignment="1">
      <alignment wrapText="1"/>
    </xf>
    <xf numFmtId="43" fontId="30" fillId="0" borderId="24" xfId="28" applyFont="1" applyFill="1" applyBorder="1" applyAlignment="1" applyProtection="1">
      <alignment horizontal="left" vertical="center"/>
    </xf>
    <xf numFmtId="49" fontId="30" fillId="0" borderId="15" xfId="28" applyNumberFormat="1" applyFont="1" applyFill="1" applyBorder="1" applyAlignment="1" applyProtection="1">
      <alignment horizontal="left" vertical="center"/>
      <protection locked="0"/>
    </xf>
    <xf numFmtId="0" fontId="5" fillId="28" borderId="0" xfId="0" applyFont="1" applyFill="1" applyAlignment="1">
      <alignment horizontal="left" vertical="center"/>
    </xf>
    <xf numFmtId="43" fontId="30" fillId="0" borderId="15" xfId="28" applyFont="1" applyFill="1" applyBorder="1" applyAlignment="1" applyProtection="1">
      <alignment horizontal="left" vertical="center"/>
      <protection locked="0"/>
    </xf>
    <xf numFmtId="43" fontId="30" fillId="0" borderId="24" xfId="28" applyFont="1" applyFill="1" applyBorder="1" applyAlignment="1" applyProtection="1">
      <alignment horizontal="right" vertical="center" indent="1"/>
      <protection hidden="1"/>
    </xf>
    <xf numFmtId="15" fontId="30" fillId="0" borderId="13" xfId="0" applyNumberFormat="1" applyFont="1" applyFill="1" applyBorder="1" applyAlignment="1" applyProtection="1">
      <alignment vertical="center"/>
      <protection locked="0"/>
    </xf>
    <xf numFmtId="49" fontId="68" fillId="0" borderId="15" xfId="0" applyNumberFormat="1" applyFont="1" applyFill="1" applyBorder="1" applyAlignment="1" applyProtection="1">
      <alignment horizontal="center" vertical="center"/>
      <protection locked="0"/>
    </xf>
    <xf numFmtId="0" fontId="53" fillId="0" borderId="16" xfId="0" applyFont="1" applyFill="1" applyBorder="1" applyAlignment="1">
      <alignment horizontal="center" vertical="center" wrapText="1"/>
    </xf>
    <xf numFmtId="0" fontId="53" fillId="25" borderId="16" xfId="0" applyFont="1" applyFill="1" applyBorder="1" applyAlignment="1">
      <alignment horizontal="center" vertical="center" wrapText="1"/>
    </xf>
    <xf numFmtId="43" fontId="30" fillId="25" borderId="24" xfId="28" applyFont="1" applyFill="1" applyBorder="1" applyAlignment="1" applyProtection="1">
      <alignment horizontal="right" vertical="center" indent="1"/>
      <protection hidden="1"/>
    </xf>
    <xf numFmtId="15" fontId="30" fillId="25" borderId="13" xfId="0" applyNumberFormat="1" applyFont="1" applyFill="1" applyBorder="1" applyAlignment="1" applyProtection="1">
      <alignment vertical="center"/>
      <protection locked="0"/>
    </xf>
    <xf numFmtId="49" fontId="68" fillId="25" borderId="15" xfId="0" applyNumberFormat="1" applyFont="1" applyFill="1" applyBorder="1" applyAlignment="1" applyProtection="1">
      <alignment horizontal="center" vertical="center"/>
      <protection locked="0"/>
    </xf>
    <xf numFmtId="43" fontId="30" fillId="25" borderId="15" xfId="28"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43" fontId="30" fillId="0" borderId="15" xfId="28" applyFont="1" applyFill="1" applyBorder="1" applyAlignment="1" applyProtection="1">
      <alignment vertical="center"/>
      <protection locked="0"/>
    </xf>
    <xf numFmtId="49" fontId="30" fillId="25" borderId="15" xfId="0" applyNumberFormat="1" applyFont="1" applyFill="1" applyBorder="1" applyAlignment="1" applyProtection="1">
      <alignment horizontal="left" vertical="center"/>
      <protection locked="0"/>
    </xf>
    <xf numFmtId="43" fontId="30" fillId="25" borderId="15" xfId="28" applyFont="1" applyFill="1" applyBorder="1" applyAlignment="1" applyProtection="1">
      <alignment vertical="center"/>
      <protection locked="0"/>
    </xf>
    <xf numFmtId="43" fontId="30" fillId="25" borderId="15" xfId="28" applyFont="1" applyFill="1" applyBorder="1" applyAlignment="1" applyProtection="1">
      <alignment vertical="center"/>
      <protection locked="0" hidden="1"/>
    </xf>
    <xf numFmtId="43" fontId="30" fillId="0" borderId="15" xfId="28" applyFont="1" applyFill="1" applyBorder="1" applyAlignment="1" applyProtection="1">
      <alignment vertical="center"/>
      <protection locked="0" hidden="1"/>
    </xf>
    <xf numFmtId="43" fontId="0" fillId="0" borderId="0" xfId="0" applyNumberFormat="1"/>
    <xf numFmtId="4" fontId="42" fillId="0" borderId="0" xfId="0" applyNumberFormat="1" applyFont="1"/>
    <xf numFmtId="43" fontId="30" fillId="25" borderId="15" xfId="28" applyFont="1" applyFill="1" applyBorder="1" applyAlignment="1" applyProtection="1">
      <alignment vertical="center"/>
      <protection locked="0"/>
    </xf>
    <xf numFmtId="43" fontId="30" fillId="25" borderId="15" xfId="28" applyFont="1" applyFill="1" applyBorder="1" applyAlignment="1" applyProtection="1">
      <alignment vertical="center"/>
      <protection locked="0" hidden="1"/>
    </xf>
    <xf numFmtId="49" fontId="68" fillId="0" borderId="15" xfId="0" applyNumberFormat="1" applyFont="1" applyFill="1" applyBorder="1" applyAlignment="1" applyProtection="1">
      <alignment horizontal="center" vertical="center"/>
      <protection locked="0"/>
    </xf>
    <xf numFmtId="15" fontId="30" fillId="25" borderId="13" xfId="0" applyNumberFormat="1" applyFont="1" applyFill="1" applyBorder="1" applyAlignment="1" applyProtection="1">
      <alignment vertical="center"/>
      <protection locked="0"/>
    </xf>
    <xf numFmtId="49" fontId="68" fillId="25" borderId="15" xfId="0" applyNumberFormat="1" applyFont="1" applyFill="1" applyBorder="1" applyAlignment="1" applyProtection="1">
      <alignment horizontal="center" vertical="center"/>
      <protection locked="0"/>
    </xf>
    <xf numFmtId="43" fontId="30" fillId="25" borderId="15" xfId="28" applyFont="1" applyFill="1" applyBorder="1" applyAlignment="1" applyProtection="1">
      <alignment horizontal="left" vertical="center"/>
      <protection locked="0"/>
    </xf>
    <xf numFmtId="43" fontId="30" fillId="0" borderId="15" xfId="28" applyFont="1" applyFill="1" applyBorder="1" applyAlignment="1" applyProtection="1">
      <alignment vertical="center"/>
      <protection locked="0"/>
    </xf>
    <xf numFmtId="49" fontId="30" fillId="25" borderId="15" xfId="0" applyNumberFormat="1" applyFont="1" applyFill="1" applyBorder="1" applyAlignment="1" applyProtection="1">
      <alignment horizontal="left" vertical="center"/>
      <protection locked="0"/>
    </xf>
    <xf numFmtId="43" fontId="30" fillId="25" borderId="15" xfId="28" applyFont="1" applyFill="1" applyBorder="1" applyAlignment="1" applyProtection="1">
      <alignment vertical="center"/>
      <protection locked="0"/>
    </xf>
    <xf numFmtId="43" fontId="30" fillId="25" borderId="15" xfId="28" applyFont="1" applyFill="1" applyBorder="1" applyAlignment="1" applyProtection="1">
      <alignment vertical="center"/>
      <protection locked="0" hidden="1"/>
    </xf>
    <xf numFmtId="43" fontId="30" fillId="0" borderId="15" xfId="28" applyFont="1" applyFill="1" applyBorder="1" applyAlignment="1" applyProtection="1">
      <alignment vertical="center"/>
      <protection locked="0" hidden="1"/>
    </xf>
    <xf numFmtId="0" fontId="30" fillId="25" borderId="196" xfId="46" applyFont="1" applyFill="1" applyBorder="1" applyAlignment="1">
      <alignment vertical="center" wrapText="1"/>
    </xf>
    <xf numFmtId="0" fontId="30" fillId="25" borderId="129" xfId="46" applyFont="1" applyFill="1" applyBorder="1" applyAlignment="1">
      <alignment vertical="center" wrapText="1"/>
    </xf>
    <xf numFmtId="176" fontId="30" fillId="0" borderId="36" xfId="46" applyNumberFormat="1" applyFont="1" applyBorder="1" applyAlignment="1">
      <alignment vertical="center" wrapText="1"/>
    </xf>
    <xf numFmtId="0" fontId="49" fillId="0" borderId="92" xfId="46" applyFont="1" applyBorder="1" applyAlignment="1">
      <alignment horizontal="left" vertical="center" wrapText="1"/>
    </xf>
    <xf numFmtId="183" fontId="49" fillId="25" borderId="79" xfId="46" applyNumberFormat="1" applyFont="1" applyFill="1" applyBorder="1" applyAlignment="1">
      <alignment vertical="center" wrapText="1"/>
    </xf>
    <xf numFmtId="0" fontId="75" fillId="27" borderId="79" xfId="46" applyFont="1" applyFill="1" applyBorder="1" applyAlignment="1">
      <alignment horizontal="right" vertical="center" wrapText="1"/>
    </xf>
    <xf numFmtId="43" fontId="30" fillId="25" borderId="15" xfId="28" applyFont="1" applyFill="1" applyBorder="1" applyAlignment="1" applyProtection="1">
      <alignment vertical="center"/>
      <protection locked="0"/>
    </xf>
    <xf numFmtId="43" fontId="30" fillId="25" borderId="24" xfId="28" applyFont="1" applyFill="1" applyBorder="1" applyAlignment="1" applyProtection="1">
      <alignment horizontal="right" vertical="center" indent="1"/>
      <protection hidden="1"/>
    </xf>
    <xf numFmtId="15" fontId="30" fillId="25" borderId="13" xfId="0" applyNumberFormat="1" applyFont="1" applyFill="1" applyBorder="1" applyAlignment="1" applyProtection="1">
      <alignment vertical="center"/>
      <protection locked="0"/>
    </xf>
    <xf numFmtId="49" fontId="30" fillId="25" borderId="15" xfId="0" applyNumberFormat="1" applyFont="1" applyFill="1" applyBorder="1" applyAlignment="1" applyProtection="1">
      <alignment horizontal="left" vertical="center"/>
      <protection locked="0"/>
    </xf>
    <xf numFmtId="49" fontId="68" fillId="25" borderId="15" xfId="0" applyNumberFormat="1" applyFont="1" applyFill="1" applyBorder="1" applyAlignment="1" applyProtection="1">
      <alignment horizontal="center" vertical="center"/>
      <protection locked="0"/>
    </xf>
    <xf numFmtId="43" fontId="30" fillId="25" borderId="15" xfId="28" applyFont="1" applyFill="1" applyBorder="1" applyAlignment="1" applyProtection="1">
      <alignment horizontal="left" vertical="center"/>
      <protection locked="0"/>
    </xf>
    <xf numFmtId="43" fontId="30" fillId="0" borderId="24" xfId="28" applyFont="1" applyFill="1" applyBorder="1" applyAlignment="1" applyProtection="1">
      <alignment horizontal="right" vertical="center" indent="1"/>
      <protection hidden="1"/>
    </xf>
    <xf numFmtId="15" fontId="30" fillId="0" borderId="13"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horizontal="left" vertical="center"/>
      <protection locked="0"/>
    </xf>
    <xf numFmtId="49" fontId="68" fillId="0" borderId="15" xfId="0" applyNumberFormat="1" applyFont="1" applyFill="1" applyBorder="1" applyAlignment="1" applyProtection="1">
      <alignment horizontal="center" vertical="center"/>
      <protection locked="0"/>
    </xf>
    <xf numFmtId="43" fontId="30" fillId="0" borderId="15" xfId="28" applyFont="1" applyFill="1" applyBorder="1" applyAlignment="1" applyProtection="1">
      <alignment vertical="center"/>
      <protection locked="0"/>
    </xf>
    <xf numFmtId="43" fontId="30" fillId="0" borderId="15" xfId="28" applyFont="1" applyFill="1" applyBorder="1" applyAlignment="1" applyProtection="1">
      <alignment horizontal="left" vertical="center"/>
      <protection locked="0"/>
    </xf>
    <xf numFmtId="43" fontId="30" fillId="28" borderId="15" xfId="28" applyFont="1" applyFill="1" applyBorder="1" applyAlignment="1" applyProtection="1">
      <alignment horizontal="left" vertical="center"/>
      <protection locked="0"/>
    </xf>
    <xf numFmtId="43" fontId="30" fillId="25" borderId="15" xfId="28" applyFont="1" applyFill="1" applyBorder="1" applyAlignment="1" applyProtection="1">
      <alignment vertical="center"/>
      <protection locked="0" hidden="1"/>
    </xf>
    <xf numFmtId="43" fontId="30" fillId="0" borderId="15" xfId="28" applyFont="1" applyFill="1" applyBorder="1" applyAlignment="1" applyProtection="1">
      <alignment vertical="center"/>
      <protection locked="0" hidden="1"/>
    </xf>
    <xf numFmtId="43" fontId="5" fillId="0" borderId="22" xfId="28" applyNumberFormat="1" applyFont="1" applyBorder="1" applyAlignment="1">
      <alignment horizontal="center" vertical="center"/>
    </xf>
    <xf numFmtId="0" fontId="54" fillId="0" borderId="0" xfId="0" applyFont="1" applyAlignment="1">
      <alignment vertical="center"/>
    </xf>
    <xf numFmtId="0" fontId="5" fillId="0" borderId="0" xfId="0" applyFont="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left" vertical="center"/>
    </xf>
    <xf numFmtId="166" fontId="54" fillId="0" borderId="0" xfId="0" applyNumberFormat="1" applyFont="1" applyAlignment="1">
      <alignment vertical="center"/>
    </xf>
    <xf numFmtId="0" fontId="29" fillId="0" borderId="0" xfId="0" applyFont="1" applyAlignment="1">
      <alignment vertical="center"/>
    </xf>
    <xf numFmtId="43" fontId="29" fillId="0" borderId="0" xfId="0" applyNumberFormat="1" applyFont="1" applyAlignment="1">
      <alignment vertical="center"/>
    </xf>
    <xf numFmtId="43" fontId="29" fillId="0" borderId="0" xfId="47" applyFont="1" applyAlignment="1">
      <alignment vertical="center"/>
    </xf>
    <xf numFmtId="0" fontId="30" fillId="0" borderId="129" xfId="46" applyFont="1" applyFill="1" applyBorder="1" applyAlignment="1">
      <alignment vertical="center" wrapText="1"/>
    </xf>
    <xf numFmtId="43" fontId="30" fillId="0" borderId="0" xfId="46" applyNumberFormat="1" applyFont="1" applyFill="1" applyAlignment="1">
      <alignment horizontal="left" vertical="center" indent="1"/>
    </xf>
    <xf numFmtId="10" fontId="30" fillId="0" borderId="140" xfId="46" applyNumberFormat="1" applyFont="1" applyFill="1" applyBorder="1" applyAlignment="1">
      <alignment vertical="center"/>
    </xf>
    <xf numFmtId="1" fontId="30" fillId="0" borderId="140" xfId="46" applyNumberFormat="1" applyFont="1" applyFill="1" applyBorder="1" applyAlignment="1">
      <alignment vertical="center"/>
    </xf>
    <xf numFmtId="1" fontId="30" fillId="0" borderId="140" xfId="46" applyNumberFormat="1" applyFont="1" applyFill="1" applyBorder="1" applyAlignment="1">
      <alignment horizontal="right" vertical="center" indent="1"/>
    </xf>
    <xf numFmtId="1" fontId="30" fillId="0" borderId="142" xfId="46" applyNumberFormat="1" applyFont="1" applyFill="1" applyBorder="1" applyAlignment="1">
      <alignment horizontal="right" vertical="center" indent="1"/>
    </xf>
    <xf numFmtId="1" fontId="31" fillId="25" borderId="142" xfId="46" applyNumberFormat="1" applyFont="1" applyFill="1" applyBorder="1" applyAlignment="1">
      <alignment horizontal="right" vertical="center" indent="1"/>
    </xf>
    <xf numFmtId="1" fontId="31" fillId="0" borderId="142" xfId="46" applyNumberFormat="1" applyFont="1" applyFill="1" applyBorder="1" applyAlignment="1">
      <alignment horizontal="right" vertical="center" indent="1"/>
    </xf>
    <xf numFmtId="1" fontId="30" fillId="32" borderId="0" xfId="46" applyNumberFormat="1" applyFont="1" applyFill="1"/>
    <xf numFmtId="0" fontId="31" fillId="0" borderId="0" xfId="46" applyFont="1"/>
    <xf numFmtId="166" fontId="31" fillId="0" borderId="0" xfId="46" applyNumberFormat="1" applyFont="1"/>
    <xf numFmtId="43" fontId="31" fillId="0" borderId="0" xfId="46" applyNumberFormat="1" applyFont="1"/>
    <xf numFmtId="9" fontId="30" fillId="0" borderId="158" xfId="59" applyFont="1" applyBorder="1" applyAlignment="1">
      <alignment vertical="center"/>
    </xf>
    <xf numFmtId="0" fontId="85" fillId="0" borderId="94" xfId="46" applyFont="1" applyBorder="1" applyAlignment="1">
      <alignment horizontal="left" vertical="center" wrapText="1" indent="1"/>
    </xf>
    <xf numFmtId="43" fontId="49" fillId="24" borderId="89" xfId="28" applyFont="1" applyFill="1" applyBorder="1" applyAlignment="1">
      <alignment horizontal="left" vertical="center"/>
    </xf>
    <xf numFmtId="0" fontId="86" fillId="0" borderId="0" xfId="0" applyFont="1"/>
    <xf numFmtId="0" fontId="86" fillId="0" borderId="0" xfId="0" quotePrefix="1" applyFont="1" applyAlignment="1">
      <alignment horizontal="left" vertical="center" wrapText="1"/>
    </xf>
    <xf numFmtId="0" fontId="86" fillId="0" borderId="0" xfId="0" applyFont="1" applyAlignment="1">
      <alignment vertical="center"/>
    </xf>
    <xf numFmtId="0" fontId="86" fillId="0" borderId="0" xfId="0" applyFont="1" applyAlignment="1">
      <alignment horizontal="right" vertical="center" indent="1"/>
    </xf>
    <xf numFmtId="0" fontId="52" fillId="0" borderId="0" xfId="37" applyAlignment="1" applyProtection="1">
      <alignment horizontal="left" vertical="center" indent="1"/>
    </xf>
    <xf numFmtId="0" fontId="49" fillId="0" borderId="0" xfId="37" quotePrefix="1" applyFont="1" applyAlignment="1" applyProtection="1">
      <alignment horizontal="left" vertical="center" wrapText="1"/>
    </xf>
    <xf numFmtId="49" fontId="87" fillId="0" borderId="24" xfId="28" applyNumberFormat="1" applyFont="1" applyBorder="1" applyAlignment="1" applyProtection="1">
      <alignment horizontal="center" vertical="center"/>
      <protection hidden="1"/>
    </xf>
    <xf numFmtId="49" fontId="87" fillId="28" borderId="24" xfId="28" applyNumberFormat="1" applyFont="1" applyFill="1" applyBorder="1" applyAlignment="1" applyProtection="1">
      <alignment horizontal="center" vertical="center"/>
      <protection hidden="1"/>
    </xf>
    <xf numFmtId="49" fontId="87" fillId="0" borderId="24" xfId="28" quotePrefix="1" applyNumberFormat="1" applyFont="1" applyBorder="1" applyAlignment="1" applyProtection="1">
      <alignment horizontal="center" vertical="center"/>
      <protection hidden="1"/>
    </xf>
    <xf numFmtId="49" fontId="87" fillId="28" borderId="24" xfId="28" quotePrefix="1" applyNumberFormat="1" applyFont="1" applyFill="1" applyBorder="1" applyAlignment="1" applyProtection="1">
      <alignment horizontal="center" vertical="center"/>
      <protection hidden="1"/>
    </xf>
    <xf numFmtId="49" fontId="87" fillId="0" borderId="24" xfId="28" quotePrefix="1" applyNumberFormat="1" applyFont="1" applyFill="1" applyBorder="1" applyAlignment="1" applyProtection="1">
      <alignment horizontal="center" vertical="center"/>
      <protection hidden="1"/>
    </xf>
    <xf numFmtId="49" fontId="87" fillId="0" borderId="24" xfId="28" applyNumberFormat="1" applyFont="1" applyFill="1" applyBorder="1" applyAlignment="1" applyProtection="1">
      <alignment horizontal="center" vertical="center"/>
      <protection hidden="1"/>
    </xf>
    <xf numFmtId="0" fontId="52" fillId="0" borderId="15" xfId="37" applyFill="1" applyBorder="1" applyAlignment="1" applyProtection="1">
      <alignment horizontal="left" vertical="center" indent="1"/>
      <protection locked="0"/>
    </xf>
    <xf numFmtId="0" fontId="52" fillId="25" borderId="15" xfId="37" quotePrefix="1" applyFill="1" applyBorder="1" applyAlignment="1" applyProtection="1">
      <alignment horizontal="left" vertical="center" indent="1"/>
      <protection locked="0"/>
    </xf>
    <xf numFmtId="0" fontId="53" fillId="0" borderId="16" xfId="0" applyFont="1" applyFill="1" applyBorder="1" applyAlignment="1">
      <alignment horizontal="center" vertical="center" wrapText="1"/>
    </xf>
    <xf numFmtId="43" fontId="30" fillId="25" borderId="15" xfId="28" applyFont="1" applyFill="1" applyBorder="1" applyAlignment="1" applyProtection="1">
      <alignment vertical="center"/>
      <protection locked="0"/>
    </xf>
    <xf numFmtId="0" fontId="53" fillId="25" borderId="16" xfId="0" applyFont="1" applyFill="1" applyBorder="1" applyAlignment="1">
      <alignment horizontal="center" vertical="center" wrapText="1"/>
    </xf>
    <xf numFmtId="43" fontId="30" fillId="25" borderId="24" xfId="28" applyFont="1" applyFill="1" applyBorder="1" applyAlignment="1" applyProtection="1">
      <alignment horizontal="right" vertical="center" indent="1"/>
      <protection hidden="1"/>
    </xf>
    <xf numFmtId="15" fontId="30" fillId="25" borderId="13" xfId="0" applyNumberFormat="1" applyFont="1" applyFill="1" applyBorder="1" applyAlignment="1" applyProtection="1">
      <alignment vertical="center"/>
      <protection locked="0"/>
    </xf>
    <xf numFmtId="49" fontId="30" fillId="25" borderId="15" xfId="0" applyNumberFormat="1" applyFont="1" applyFill="1" applyBorder="1" applyAlignment="1" applyProtection="1">
      <alignment horizontal="left" vertical="center"/>
      <protection locked="0"/>
    </xf>
    <xf numFmtId="49" fontId="68" fillId="25" borderId="15" xfId="0" applyNumberFormat="1" applyFont="1" applyFill="1" applyBorder="1" applyAlignment="1" applyProtection="1">
      <alignment horizontal="center" vertical="center"/>
      <protection locked="0"/>
    </xf>
    <xf numFmtId="43" fontId="30" fillId="25" borderId="15" xfId="28" applyFont="1" applyFill="1" applyBorder="1" applyAlignment="1" applyProtection="1">
      <alignment horizontal="left" vertical="center"/>
      <protection locked="0"/>
    </xf>
    <xf numFmtId="15" fontId="30" fillId="0" borderId="13"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horizontal="left" vertical="center"/>
      <protection locked="0"/>
    </xf>
    <xf numFmtId="49" fontId="68" fillId="0" borderId="15" xfId="0" applyNumberFormat="1" applyFont="1" applyFill="1" applyBorder="1" applyAlignment="1" applyProtection="1">
      <alignment horizontal="center" vertical="center"/>
      <protection locked="0"/>
    </xf>
    <xf numFmtId="43" fontId="30" fillId="0" borderId="15" xfId="28" applyFont="1" applyFill="1" applyBorder="1" applyAlignment="1" applyProtection="1">
      <alignment vertical="center"/>
      <protection locked="0"/>
    </xf>
    <xf numFmtId="43" fontId="30" fillId="0" borderId="15" xfId="28" applyFont="1" applyFill="1" applyBorder="1" applyAlignment="1" applyProtection="1">
      <alignment horizontal="left" vertical="center"/>
      <protection locked="0"/>
    </xf>
    <xf numFmtId="0" fontId="80" fillId="0" borderId="111" xfId="0" applyFont="1" applyBorder="1" applyAlignment="1">
      <alignment horizontal="left" vertical="center" indent="1"/>
    </xf>
    <xf numFmtId="43" fontId="30" fillId="0" borderId="0" xfId="28" applyFont="1" applyFill="1" applyBorder="1" applyAlignment="1" applyProtection="1">
      <alignment vertical="center"/>
      <protection locked="0"/>
    </xf>
    <xf numFmtId="0" fontId="88" fillId="25" borderId="16" xfId="37" quotePrefix="1" applyFont="1" applyFill="1" applyBorder="1" applyAlignment="1" applyProtection="1">
      <alignment horizontal="left" vertical="center" indent="1"/>
      <protection locked="0"/>
    </xf>
    <xf numFmtId="43" fontId="49" fillId="0" borderId="91" xfId="46" applyNumberFormat="1" applyFont="1" applyFill="1" applyBorder="1" applyAlignment="1">
      <alignment horizontal="left" vertical="center"/>
    </xf>
    <xf numFmtId="0" fontId="86" fillId="0" borderId="0" xfId="0" applyFont="1" applyAlignment="1">
      <alignment horizontal="right" vertical="center" indent="1"/>
    </xf>
    <xf numFmtId="0" fontId="60" fillId="0" borderId="0" xfId="0" applyFont="1" applyAlignment="1">
      <alignment vertical="center"/>
    </xf>
    <xf numFmtId="0" fontId="49" fillId="0" borderId="0" xfId="37" quotePrefix="1" applyFont="1" applyAlignment="1" applyProtection="1">
      <alignment horizontal="left" vertical="center" wrapText="1"/>
    </xf>
    <xf numFmtId="43" fontId="30" fillId="0" borderId="0" xfId="28" applyFont="1" applyFill="1" applyAlignment="1">
      <alignment vertical="center"/>
    </xf>
    <xf numFmtId="43" fontId="57" fillId="0" borderId="0" xfId="28" applyFont="1" applyFill="1" applyBorder="1" applyAlignment="1">
      <alignment horizontal="right" vertical="center"/>
    </xf>
    <xf numFmtId="43" fontId="73" fillId="25" borderId="52" xfId="28" applyFont="1" applyFill="1" applyBorder="1" applyAlignment="1" applyProtection="1">
      <alignment horizontal="right" vertical="center"/>
      <protection hidden="1"/>
    </xf>
    <xf numFmtId="43" fontId="73" fillId="25" borderId="147" xfId="28" applyFont="1" applyFill="1" applyBorder="1" applyAlignment="1" applyProtection="1">
      <alignment horizontal="right" vertical="center"/>
      <protection hidden="1"/>
    </xf>
    <xf numFmtId="43" fontId="11" fillId="26" borderId="30" xfId="28" applyFont="1" applyFill="1" applyBorder="1" applyAlignment="1" applyProtection="1">
      <alignment horizontal="left" vertical="center" indent="1"/>
      <protection locked="0"/>
    </xf>
    <xf numFmtId="43" fontId="11" fillId="26" borderId="176" xfId="28" applyFont="1" applyFill="1" applyBorder="1" applyAlignment="1" applyProtection="1">
      <alignment horizontal="left" vertical="center" indent="1"/>
      <protection locked="0"/>
    </xf>
    <xf numFmtId="43" fontId="11" fillId="0" borderId="133" xfId="28" applyFont="1" applyFill="1" applyBorder="1" applyAlignment="1">
      <alignment horizontal="center" vertical="center" wrapText="1"/>
    </xf>
    <xf numFmtId="43" fontId="11" fillId="0" borderId="180" xfId="28" applyFont="1" applyFill="1" applyBorder="1" applyAlignment="1">
      <alignment horizontal="center" vertical="center" wrapText="1"/>
    </xf>
    <xf numFmtId="43" fontId="39" fillId="0" borderId="163" xfId="28" applyFont="1" applyBorder="1" applyAlignment="1">
      <alignment horizontal="center" vertical="justify"/>
    </xf>
    <xf numFmtId="0" fontId="40" fillId="0" borderId="168" xfId="0" applyFont="1" applyBorder="1" applyAlignment="1"/>
    <xf numFmtId="43" fontId="7" fillId="0" borderId="65" xfId="28" applyFont="1" applyBorder="1" applyAlignment="1">
      <alignment horizontal="left" vertical="center"/>
    </xf>
    <xf numFmtId="49" fontId="26" fillId="0" borderId="61" xfId="28" applyNumberFormat="1" applyFont="1" applyBorder="1" applyAlignment="1" applyProtection="1">
      <alignment horizontal="center" vertical="center" wrapText="1"/>
      <protection locked="0"/>
    </xf>
    <xf numFmtId="49" fontId="26" fillId="0" borderId="62" xfId="28" applyNumberFormat="1" applyFont="1" applyBorder="1" applyAlignment="1" applyProtection="1">
      <alignment horizontal="center" vertical="center" wrapText="1"/>
      <protection locked="0"/>
    </xf>
    <xf numFmtId="49" fontId="6" fillId="0" borderId="61" xfId="28" applyNumberFormat="1" applyFont="1" applyBorder="1" applyAlignment="1" applyProtection="1">
      <alignment horizontal="center" vertical="center" wrapText="1"/>
      <protection locked="0"/>
    </xf>
    <xf numFmtId="49" fontId="6" fillId="0" borderId="62" xfId="28" applyNumberFormat="1" applyFont="1" applyBorder="1" applyAlignment="1" applyProtection="1">
      <alignment horizontal="center" vertical="center" wrapText="1"/>
      <protection locked="0"/>
    </xf>
    <xf numFmtId="0" fontId="7" fillId="0" borderId="66" xfId="0" applyFont="1" applyBorder="1" applyAlignment="1">
      <alignment horizontal="left" vertical="center" wrapText="1"/>
    </xf>
    <xf numFmtId="0" fontId="7" fillId="0" borderId="65" xfId="0" applyFont="1" applyBorder="1" applyAlignment="1">
      <alignment horizontal="left" vertical="center" wrapText="1"/>
    </xf>
    <xf numFmtId="0" fontId="7" fillId="0" borderId="67" xfId="0" applyFont="1" applyBorder="1" applyAlignment="1">
      <alignment horizontal="left" vertical="center" wrapText="1"/>
    </xf>
    <xf numFmtId="0" fontId="7" fillId="0" borderId="11" xfId="0" applyFont="1" applyBorder="1" applyAlignment="1">
      <alignment horizontal="left" vertical="center" wrapText="1"/>
    </xf>
    <xf numFmtId="49" fontId="26" fillId="0" borderId="61" xfId="28" applyNumberFormat="1" applyFont="1" applyBorder="1" applyAlignment="1">
      <alignment horizontal="center" vertical="center" wrapText="1"/>
    </xf>
    <xf numFmtId="49" fontId="26" fillId="0" borderId="62" xfId="28" applyNumberFormat="1" applyFont="1" applyBorder="1" applyAlignment="1">
      <alignment horizontal="center" vertical="center" wrapText="1"/>
    </xf>
    <xf numFmtId="49" fontId="44" fillId="0" borderId="61" xfId="28" applyNumberFormat="1" applyFont="1" applyBorder="1" applyAlignment="1" applyProtection="1">
      <alignment horizontal="center" vertical="center" wrapText="1"/>
      <protection locked="0"/>
    </xf>
    <xf numFmtId="49" fontId="44" fillId="0" borderId="62" xfId="28" applyNumberFormat="1" applyFont="1" applyBorder="1" applyAlignment="1" applyProtection="1">
      <alignment horizontal="center" vertical="center" wrapText="1"/>
      <protection locked="0"/>
    </xf>
    <xf numFmtId="43" fontId="26" fillId="0" borderId="61" xfId="28" applyFont="1" applyBorder="1" applyAlignment="1" applyProtection="1">
      <alignment horizontal="center" vertical="center" wrapText="1"/>
      <protection locked="0"/>
    </xf>
    <xf numFmtId="43" fontId="26" fillId="0" borderId="62" xfId="28" applyFont="1" applyBorder="1" applyAlignment="1" applyProtection="1">
      <alignment horizontal="center" vertical="center" wrapText="1"/>
      <protection locked="0"/>
    </xf>
    <xf numFmtId="166" fontId="81" fillId="0" borderId="63" xfId="28" applyNumberFormat="1" applyFont="1" applyBorder="1" applyAlignment="1">
      <alignment horizontal="center" vertical="center" wrapText="1"/>
    </xf>
    <xf numFmtId="166" fontId="81" fillId="0" borderId="64" xfId="28" applyNumberFormat="1" applyFont="1" applyBorder="1" applyAlignment="1">
      <alignment horizontal="center" vertical="center" wrapText="1"/>
    </xf>
    <xf numFmtId="43" fontId="26" fillId="0" borderId="63" xfId="28" applyFont="1" applyBorder="1" applyAlignment="1">
      <alignment horizontal="center" vertical="center" wrapText="1"/>
    </xf>
    <xf numFmtId="43" fontId="26" fillId="0" borderId="64" xfId="28" applyFont="1" applyBorder="1" applyAlignment="1">
      <alignment horizontal="center" vertical="center" wrapText="1"/>
    </xf>
    <xf numFmtId="0" fontId="30" fillId="0" borderId="23" xfId="0" applyFont="1" applyFill="1" applyBorder="1" applyAlignment="1">
      <alignment wrapText="1"/>
    </xf>
    <xf numFmtId="0" fontId="30" fillId="0" borderId="0" xfId="0" applyFont="1" applyFill="1" applyBorder="1" applyAlignment="1">
      <alignment wrapText="1"/>
    </xf>
    <xf numFmtId="0" fontId="53" fillId="25" borderId="16" xfId="0" applyFont="1" applyFill="1" applyBorder="1" applyAlignment="1">
      <alignment vertical="center" wrapText="1"/>
    </xf>
    <xf numFmtId="0" fontId="53" fillId="0" borderId="16" xfId="0" applyFont="1" applyFill="1" applyBorder="1" applyAlignment="1">
      <alignment horizontal="center" vertical="center" wrapText="1"/>
    </xf>
    <xf numFmtId="43" fontId="30" fillId="0" borderId="15" xfId="28" applyFont="1" applyFill="1" applyBorder="1" applyAlignment="1" applyProtection="1">
      <alignment vertical="center"/>
      <protection locked="0"/>
    </xf>
    <xf numFmtId="43" fontId="30" fillId="0" borderId="24" xfId="28" applyFont="1" applyFill="1" applyBorder="1" applyAlignment="1" applyProtection="1">
      <alignment horizontal="right" vertical="center" indent="1"/>
      <protection hidden="1"/>
    </xf>
    <xf numFmtId="15" fontId="30" fillId="0" borderId="13" xfId="0" applyNumberFormat="1" applyFont="1" applyFill="1" applyBorder="1" applyAlignment="1" applyProtection="1">
      <alignment vertical="center"/>
      <protection locked="0"/>
    </xf>
    <xf numFmtId="49" fontId="30" fillId="0" borderId="15" xfId="0" applyNumberFormat="1" applyFont="1" applyFill="1" applyBorder="1" applyAlignment="1" applyProtection="1">
      <alignment horizontal="left" vertical="center"/>
      <protection locked="0"/>
    </xf>
    <xf numFmtId="49" fontId="68" fillId="0" borderId="15" xfId="0" applyNumberFormat="1" applyFont="1" applyFill="1" applyBorder="1" applyAlignment="1" applyProtection="1">
      <alignment horizontal="center" vertical="center"/>
      <protection locked="0"/>
    </xf>
    <xf numFmtId="43" fontId="30" fillId="25" borderId="15" xfId="28" applyFont="1" applyFill="1" applyBorder="1" applyAlignment="1" applyProtection="1">
      <alignment horizontal="left" vertical="center"/>
      <protection locked="0"/>
    </xf>
    <xf numFmtId="0" fontId="53" fillId="25" borderId="16" xfId="0" applyFont="1" applyFill="1" applyBorder="1" applyAlignment="1">
      <alignment horizontal="center" vertical="center" wrapText="1"/>
    </xf>
    <xf numFmtId="43" fontId="30" fillId="25" borderId="24" xfId="28" applyFont="1" applyFill="1" applyBorder="1" applyAlignment="1" applyProtection="1">
      <alignment horizontal="right" vertical="center" indent="1"/>
      <protection hidden="1"/>
    </xf>
    <xf numFmtId="15" fontId="30" fillId="25" borderId="13" xfId="0" applyNumberFormat="1" applyFont="1" applyFill="1" applyBorder="1" applyAlignment="1" applyProtection="1">
      <alignment vertical="center"/>
      <protection locked="0"/>
    </xf>
    <xf numFmtId="49" fontId="68" fillId="25" borderId="15" xfId="0" applyNumberFormat="1" applyFont="1" applyFill="1" applyBorder="1" applyAlignment="1" applyProtection="1">
      <alignment horizontal="center" vertical="center"/>
      <protection locked="0"/>
    </xf>
    <xf numFmtId="49" fontId="30" fillId="25" borderId="15" xfId="0" applyNumberFormat="1" applyFont="1" applyFill="1" applyBorder="1" applyAlignment="1" applyProtection="1">
      <alignment horizontal="left" vertical="center"/>
      <protection locked="0"/>
    </xf>
    <xf numFmtId="43" fontId="30" fillId="0" borderId="15" xfId="28" applyFont="1" applyFill="1" applyBorder="1" applyAlignment="1" applyProtection="1">
      <alignment horizontal="left" vertical="center"/>
      <protection locked="0"/>
    </xf>
    <xf numFmtId="15" fontId="30" fillId="0" borderId="13" xfId="0" applyNumberFormat="1" applyFont="1" applyFill="1" applyBorder="1" applyAlignment="1" applyProtection="1">
      <alignment vertical="center" wrapText="1"/>
      <protection locked="0"/>
    </xf>
    <xf numFmtId="43" fontId="30" fillId="25" borderId="15" xfId="28" applyFont="1" applyFill="1" applyBorder="1" applyAlignment="1" applyProtection="1">
      <alignment horizontal="left" vertical="center"/>
      <protection hidden="1"/>
    </xf>
    <xf numFmtId="43" fontId="30" fillId="25" borderId="15" xfId="28" applyFont="1" applyFill="1" applyBorder="1" applyAlignment="1" applyProtection="1">
      <alignment vertical="center"/>
      <protection locked="0"/>
    </xf>
    <xf numFmtId="43" fontId="30" fillId="0" borderId="15" xfId="28" applyFont="1" applyFill="1" applyBorder="1" applyAlignment="1" applyProtection="1">
      <alignment horizontal="left" vertical="center"/>
      <protection hidden="1"/>
    </xf>
    <xf numFmtId="0" fontId="53" fillId="0" borderId="16" xfId="0" applyFont="1" applyBorder="1" applyAlignment="1">
      <alignment horizontal="center" vertical="center" wrapText="1"/>
    </xf>
    <xf numFmtId="15" fontId="30" fillId="0" borderId="13" xfId="0" applyNumberFormat="1" applyFont="1" applyBorder="1" applyAlignment="1" applyProtection="1">
      <alignment vertical="center"/>
      <protection locked="0"/>
    </xf>
    <xf numFmtId="49" fontId="68" fillId="0" borderId="15" xfId="0" applyNumberFormat="1" applyFont="1" applyBorder="1" applyAlignment="1" applyProtection="1">
      <alignment horizontal="center" vertical="center"/>
      <protection locked="0"/>
    </xf>
    <xf numFmtId="0" fontId="49" fillId="0" borderId="0" xfId="0" applyFont="1" applyAlignment="1">
      <alignment horizontal="left" vertical="center" indent="1"/>
    </xf>
    <xf numFmtId="0" fontId="69" fillId="0" borderId="0" xfId="54" applyFill="1" applyBorder="1" applyAlignment="1">
      <alignment horizontal="left" vertical="center"/>
    </xf>
    <xf numFmtId="0" fontId="69" fillId="0" borderId="0" xfId="54" applyFill="1" applyBorder="1" applyAlignment="1">
      <alignment horizontal="left" vertical="top" wrapText="1"/>
    </xf>
    <xf numFmtId="0" fontId="6" fillId="0" borderId="0" xfId="0" applyFont="1" applyAlignment="1">
      <alignment horizontal="center" vertical="center"/>
    </xf>
    <xf numFmtId="0" fontId="6" fillId="0" borderId="0" xfId="0" applyFont="1" applyAlignment="1">
      <alignment horizontal="center" vertical="center" wrapText="1"/>
    </xf>
    <xf numFmtId="0" fontId="30" fillId="0" borderId="57" xfId="46" applyFont="1" applyBorder="1" applyAlignment="1">
      <alignment horizontal="center" vertical="center" wrapText="1"/>
    </xf>
    <xf numFmtId="0" fontId="30" fillId="0" borderId="107" xfId="46" applyFont="1" applyBorder="1" applyAlignment="1">
      <alignment horizontal="center" vertical="center" wrapText="1"/>
    </xf>
    <xf numFmtId="0" fontId="30" fillId="0" borderId="0" xfId="46" applyFont="1" applyAlignment="1">
      <alignment horizontal="center" vertical="center" wrapText="1"/>
    </xf>
    <xf numFmtId="176" fontId="30" fillId="0" borderId="55" xfId="46" applyNumberFormat="1" applyFont="1" applyBorder="1" applyAlignment="1">
      <alignment vertical="center" wrapText="1"/>
    </xf>
    <xf numFmtId="176" fontId="30" fillId="0" borderId="23" xfId="46" applyNumberFormat="1" applyFont="1" applyBorder="1" applyAlignment="1">
      <alignment vertical="center" wrapText="1"/>
    </xf>
    <xf numFmtId="176" fontId="30" fillId="0" borderId="59" xfId="46" applyNumberFormat="1" applyFont="1" applyBorder="1" applyAlignment="1">
      <alignment vertical="center" wrapText="1"/>
    </xf>
    <xf numFmtId="176" fontId="30" fillId="0" borderId="53" xfId="46" applyNumberFormat="1" applyFont="1" applyBorder="1" applyAlignment="1">
      <alignment vertical="center" wrapText="1"/>
    </xf>
    <xf numFmtId="176" fontId="30" fillId="0" borderId="0" xfId="46" applyNumberFormat="1" applyFont="1" applyBorder="1" applyAlignment="1">
      <alignment vertical="center" wrapText="1"/>
    </xf>
    <xf numFmtId="176" fontId="30" fillId="0" borderId="36" xfId="46" applyNumberFormat="1" applyFont="1" applyBorder="1" applyAlignment="1">
      <alignment vertical="center" wrapText="1"/>
    </xf>
    <xf numFmtId="176" fontId="30" fillId="0" borderId="0" xfId="46" applyNumberFormat="1" applyFont="1" applyAlignment="1">
      <alignment vertical="center" wrapText="1"/>
    </xf>
    <xf numFmtId="165" fontId="30" fillId="0" borderId="53" xfId="50" applyNumberFormat="1" applyFont="1" applyBorder="1" applyAlignment="1">
      <alignment vertical="center"/>
    </xf>
    <xf numFmtId="165" fontId="30" fillId="0" borderId="0" xfId="50" applyNumberFormat="1" applyFont="1" applyBorder="1" applyAlignment="1">
      <alignment vertical="center"/>
    </xf>
    <xf numFmtId="165" fontId="30" fillId="0" borderId="36" xfId="50" applyNumberFormat="1" applyFont="1" applyBorder="1" applyAlignment="1">
      <alignment vertical="center"/>
    </xf>
    <xf numFmtId="0" fontId="30" fillId="0" borderId="55" xfId="46" applyFont="1" applyBorder="1" applyAlignment="1">
      <alignment horizontal="center" vertical="center"/>
    </xf>
    <xf numFmtId="0" fontId="30" fillId="0" borderId="59" xfId="46" applyFont="1" applyBorder="1" applyAlignment="1">
      <alignment horizontal="center" vertical="center"/>
    </xf>
    <xf numFmtId="0" fontId="30" fillId="0" borderId="53" xfId="46" applyFont="1" applyBorder="1" applyAlignment="1">
      <alignment horizontal="center" vertical="center"/>
    </xf>
    <xf numFmtId="0" fontId="30" fillId="0" borderId="36" xfId="46" applyFont="1" applyBorder="1" applyAlignment="1">
      <alignment horizontal="center" vertical="center"/>
    </xf>
    <xf numFmtId="0" fontId="30" fillId="0" borderId="57" xfId="46" applyFont="1" applyBorder="1" applyAlignment="1">
      <alignment horizontal="center" vertical="center"/>
    </xf>
    <xf numFmtId="0" fontId="30" fillId="0" borderId="107" xfId="46" applyFont="1" applyBorder="1" applyAlignment="1">
      <alignment horizontal="center" vertical="center"/>
    </xf>
    <xf numFmtId="0" fontId="30" fillId="0" borderId="57" xfId="46" quotePrefix="1" applyFont="1" applyBorder="1" applyAlignment="1">
      <alignment horizontal="center" vertical="center"/>
    </xf>
    <xf numFmtId="0" fontId="30" fillId="0" borderId="54" xfId="46" applyFont="1" applyBorder="1" applyAlignment="1">
      <alignment horizontal="center" vertical="center" wrapText="1"/>
    </xf>
    <xf numFmtId="0" fontId="30" fillId="0" borderId="62" xfId="46" applyFont="1" applyBorder="1" applyAlignment="1">
      <alignment horizontal="center" vertical="center" wrapText="1"/>
    </xf>
    <xf numFmtId="0" fontId="31" fillId="24" borderId="53" xfId="46" applyFont="1" applyFill="1" applyBorder="1" applyAlignment="1">
      <alignment horizontal="left" vertical="center" wrapText="1"/>
    </xf>
    <xf numFmtId="0" fontId="31" fillId="24" borderId="36" xfId="46" applyFont="1" applyFill="1" applyBorder="1" applyAlignment="1">
      <alignment horizontal="left" vertical="center" wrapText="1"/>
    </xf>
    <xf numFmtId="0" fontId="30" fillId="0" borderId="16" xfId="46" applyFont="1" applyBorder="1" applyAlignment="1">
      <alignment horizontal="center" vertical="center" wrapText="1"/>
    </xf>
    <xf numFmtId="0" fontId="30" fillId="0" borderId="55" xfId="46" applyFont="1" applyBorder="1" applyAlignment="1">
      <alignment horizontal="center" vertical="center" wrapText="1"/>
    </xf>
    <xf numFmtId="0" fontId="30" fillId="0" borderId="59" xfId="46" applyFont="1" applyBorder="1" applyAlignment="1">
      <alignment horizontal="center" vertical="center" wrapText="1"/>
    </xf>
    <xf numFmtId="166" fontId="30" fillId="0" borderId="53" xfId="46" applyNumberFormat="1" applyFont="1" applyBorder="1" applyAlignment="1">
      <alignment horizontal="center" vertical="center"/>
    </xf>
    <xf numFmtId="166" fontId="30" fillId="0" borderId="57" xfId="46" applyNumberFormat="1" applyFont="1" applyBorder="1" applyAlignment="1">
      <alignment horizontal="center" vertical="center"/>
    </xf>
    <xf numFmtId="166" fontId="30" fillId="0" borderId="36" xfId="46" applyNumberFormat="1" applyFont="1" applyBorder="1" applyAlignment="1">
      <alignment horizontal="center" vertical="center"/>
    </xf>
    <xf numFmtId="166" fontId="30" fillId="0" borderId="107" xfId="46" applyNumberFormat="1" applyFont="1" applyBorder="1" applyAlignment="1">
      <alignment horizontal="center" vertical="center"/>
    </xf>
    <xf numFmtId="177" fontId="30" fillId="0" borderId="119" xfId="46" applyNumberFormat="1" applyFont="1" applyBorder="1" applyAlignment="1">
      <alignment vertical="center" wrapText="1"/>
    </xf>
    <xf numFmtId="177" fontId="30" fillId="0" borderId="121" xfId="46" applyNumberFormat="1" applyFont="1" applyBorder="1" applyAlignment="1">
      <alignment vertical="center" wrapText="1"/>
    </xf>
    <xf numFmtId="43" fontId="30" fillId="0" borderId="120" xfId="50" applyFont="1" applyBorder="1" applyAlignment="1">
      <alignment vertical="center" wrapText="1"/>
    </xf>
    <xf numFmtId="43" fontId="30" fillId="0" borderId="123" xfId="50" applyFont="1" applyBorder="1" applyAlignment="1">
      <alignment vertical="center" wrapText="1"/>
    </xf>
    <xf numFmtId="166" fontId="30" fillId="0" borderId="134" xfId="50" applyNumberFormat="1" applyFont="1" applyBorder="1" applyAlignment="1">
      <alignment vertical="center" wrapText="1"/>
    </xf>
    <xf numFmtId="166" fontId="30" fillId="0" borderId="135" xfId="50" applyNumberFormat="1" applyFont="1" applyBorder="1" applyAlignment="1">
      <alignment vertical="center" wrapText="1"/>
    </xf>
    <xf numFmtId="43" fontId="30" fillId="0" borderId="134" xfId="50" applyFont="1" applyBorder="1" applyAlignment="1">
      <alignment vertical="center" wrapText="1"/>
    </xf>
    <xf numFmtId="43" fontId="30" fillId="0" borderId="135" xfId="50" applyFont="1" applyBorder="1" applyAlignment="1">
      <alignment vertical="center" wrapText="1"/>
    </xf>
    <xf numFmtId="177" fontId="30" fillId="0" borderId="134" xfId="46" applyNumberFormat="1" applyFont="1" applyBorder="1" applyAlignment="1">
      <alignment vertical="center" wrapText="1"/>
    </xf>
    <xf numFmtId="177" fontId="30" fillId="0" borderId="135" xfId="46" applyNumberFormat="1" applyFont="1" applyBorder="1" applyAlignment="1">
      <alignment vertical="center" wrapText="1"/>
    </xf>
    <xf numFmtId="172" fontId="49" fillId="0" borderId="106" xfId="46" applyNumberFormat="1" applyFont="1" applyBorder="1" applyAlignment="1">
      <alignment horizontal="left" vertical="center" wrapText="1"/>
    </xf>
    <xf numFmtId="0" fontId="49" fillId="0" borderId="14" xfId="46" applyFont="1" applyBorder="1" applyAlignment="1">
      <alignment vertical="center" wrapText="1"/>
    </xf>
    <xf numFmtId="0" fontId="49" fillId="0" borderId="76" xfId="46" applyFont="1" applyBorder="1" applyAlignment="1"/>
    <xf numFmtId="43" fontId="49" fillId="0" borderId="79" xfId="28" applyFont="1" applyFill="1" applyBorder="1" applyAlignment="1">
      <alignment horizontal="center" vertical="center"/>
    </xf>
    <xf numFmtId="43" fontId="49" fillId="0" borderId="99" xfId="28" applyFont="1" applyFill="1" applyBorder="1" applyAlignment="1">
      <alignment horizontal="center" vertical="center"/>
    </xf>
    <xf numFmtId="0" fontId="75" fillId="27" borderId="22" xfId="46" applyFont="1" applyFill="1" applyBorder="1" applyAlignment="1">
      <alignment horizontal="right" vertical="center" wrapText="1"/>
    </xf>
    <xf numFmtId="0" fontId="75" fillId="27" borderId="168" xfId="46" applyFont="1" applyFill="1" applyBorder="1" applyAlignment="1">
      <alignment horizontal="right" vertical="center" wrapText="1"/>
    </xf>
    <xf numFmtId="182" fontId="49" fillId="27" borderId="79" xfId="46" applyNumberFormat="1" applyFont="1" applyFill="1" applyBorder="1" applyAlignment="1">
      <alignment horizontal="left" vertical="center"/>
    </xf>
    <xf numFmtId="182" fontId="49" fillId="27" borderId="75" xfId="46" applyNumberFormat="1" applyFont="1" applyFill="1" applyBorder="1" applyAlignment="1">
      <alignment horizontal="left" vertical="center"/>
    </xf>
    <xf numFmtId="173" fontId="49" fillId="27" borderId="194" xfId="46" applyNumberFormat="1" applyFont="1" applyFill="1" applyBorder="1" applyAlignment="1">
      <alignment vertical="center"/>
    </xf>
    <xf numFmtId="173" fontId="49" fillId="27" borderId="193" xfId="46" applyNumberFormat="1" applyFont="1" applyFill="1" applyBorder="1" applyAlignment="1">
      <alignment vertical="center"/>
    </xf>
    <xf numFmtId="0" fontId="49" fillId="27" borderId="79" xfId="46" applyFont="1" applyFill="1" applyBorder="1" applyAlignment="1">
      <alignment vertical="center" wrapText="1"/>
    </xf>
    <xf numFmtId="0" fontId="49" fillId="27" borderId="75" xfId="46" applyFont="1" applyFill="1" applyBorder="1" applyAlignment="1">
      <alignment vertical="center" wrapText="1"/>
    </xf>
    <xf numFmtId="0" fontId="49" fillId="0" borderId="0" xfId="46" applyFont="1" applyAlignment="1">
      <alignment horizontal="center"/>
    </xf>
    <xf numFmtId="0" fontId="49" fillId="0" borderId="89" xfId="46" applyFont="1" applyBorder="1" applyAlignment="1">
      <alignment horizontal="left" vertical="center" wrapText="1" indent="1"/>
    </xf>
    <xf numFmtId="0" fontId="49" fillId="0" borderId="86" xfId="46" applyFont="1" applyBorder="1" applyAlignment="1">
      <alignment horizontal="left" vertical="center" wrapText="1" indent="1"/>
    </xf>
    <xf numFmtId="0" fontId="49" fillId="0" borderId="80" xfId="46" applyFont="1" applyBorder="1" applyAlignment="1">
      <alignment horizontal="left" vertical="center" wrapText="1"/>
    </xf>
    <xf numFmtId="0" fontId="49" fillId="0" borderId="83" xfId="46" applyFont="1" applyBorder="1" applyAlignment="1">
      <alignment horizontal="left" vertical="center" wrapText="1"/>
    </xf>
    <xf numFmtId="0" fontId="49" fillId="0" borderId="81" xfId="46" applyFont="1" applyBorder="1" applyAlignment="1">
      <alignment horizontal="left" vertical="center" wrapText="1"/>
    </xf>
    <xf numFmtId="0" fontId="49" fillId="0" borderId="75" xfId="46" applyFont="1" applyBorder="1" applyAlignment="1">
      <alignment horizontal="left" vertical="center" wrapText="1"/>
    </xf>
    <xf numFmtId="0" fontId="49" fillId="0" borderId="82" xfId="46" applyFont="1" applyBorder="1" applyAlignment="1">
      <alignment vertical="center" wrapText="1"/>
    </xf>
    <xf numFmtId="0" fontId="49" fillId="0" borderId="84" xfId="46" applyFont="1" applyBorder="1" applyAlignment="1">
      <alignment horizontal="left" vertical="center" wrapText="1"/>
    </xf>
    <xf numFmtId="0" fontId="49" fillId="0" borderId="88" xfId="46" applyFont="1" applyBorder="1" applyAlignment="1">
      <alignment horizontal="left" vertical="center" wrapText="1"/>
    </xf>
    <xf numFmtId="0" fontId="49" fillId="0" borderId="91" xfId="46" applyFont="1" applyBorder="1" applyAlignment="1">
      <alignment horizontal="left" vertical="center" wrapText="1"/>
    </xf>
    <xf numFmtId="0" fontId="49" fillId="0" borderId="92" xfId="46" applyFont="1" applyBorder="1" applyAlignment="1">
      <alignment horizontal="left" vertical="center" wrapText="1"/>
    </xf>
    <xf numFmtId="43" fontId="49" fillId="23" borderId="89" xfId="28" applyFont="1" applyFill="1" applyBorder="1" applyAlignment="1">
      <alignment horizontal="center" vertical="center"/>
    </xf>
    <xf numFmtId="43" fontId="49" fillId="23" borderId="79" xfId="28" applyFont="1" applyFill="1" applyBorder="1" applyAlignment="1">
      <alignment horizontal="center" vertical="center"/>
    </xf>
    <xf numFmtId="183" fontId="49" fillId="27" borderId="79" xfId="46" applyNumberFormat="1" applyFont="1" applyFill="1" applyBorder="1" applyAlignment="1">
      <alignment vertical="center" wrapText="1"/>
    </xf>
    <xf numFmtId="183" fontId="49" fillId="25" borderId="79" xfId="46" applyNumberFormat="1" applyFont="1" applyFill="1" applyBorder="1" applyAlignment="1">
      <alignment vertical="center" wrapText="1"/>
    </xf>
    <xf numFmtId="0" fontId="75" fillId="27" borderId="79" xfId="46" applyFont="1" applyFill="1" applyBorder="1" applyAlignment="1">
      <alignment horizontal="right" vertical="center" wrapText="1"/>
    </xf>
  </cellXfs>
  <cellStyles count="60">
    <cellStyle name="Accent1" xfId="1" builtinId="29" customBuiltin="1"/>
    <cellStyle name="Accent1 - 20%" xfId="2" xr:uid="{00000000-0005-0000-0000-000001000000}"/>
    <cellStyle name="Accent1 - 40%" xfId="3" xr:uid="{00000000-0005-0000-0000-000002000000}"/>
    <cellStyle name="Accent1 - 60%" xfId="4" xr:uid="{00000000-0005-0000-0000-000003000000}"/>
    <cellStyle name="Accent2" xfId="5" builtinId="33" customBuiltin="1"/>
    <cellStyle name="Accent2 - 20%" xfId="6" xr:uid="{00000000-0005-0000-0000-000005000000}"/>
    <cellStyle name="Accent2 - 40%" xfId="7" xr:uid="{00000000-0005-0000-0000-000006000000}"/>
    <cellStyle name="Accent2 - 60%" xfId="8" xr:uid="{00000000-0005-0000-0000-000007000000}"/>
    <cellStyle name="Accent3" xfId="9" builtinId="37" customBuiltin="1"/>
    <cellStyle name="Accent3 - 20%" xfId="10" xr:uid="{00000000-0005-0000-0000-000009000000}"/>
    <cellStyle name="Accent3 - 40%" xfId="11" xr:uid="{00000000-0005-0000-0000-00000A000000}"/>
    <cellStyle name="Accent3 - 60%" xfId="12" xr:uid="{00000000-0005-0000-0000-00000B000000}"/>
    <cellStyle name="Accent4" xfId="13" builtinId="41" customBuiltin="1"/>
    <cellStyle name="Accent4 - 20%" xfId="14" xr:uid="{00000000-0005-0000-0000-00000D000000}"/>
    <cellStyle name="Accent4 - 40%" xfId="15" xr:uid="{00000000-0005-0000-0000-00000E000000}"/>
    <cellStyle name="Accent4 - 60%" xfId="16" xr:uid="{00000000-0005-0000-0000-00000F000000}"/>
    <cellStyle name="Accent5" xfId="17" builtinId="45" customBuiltin="1"/>
    <cellStyle name="Accent5 - 20%" xfId="18" xr:uid="{00000000-0005-0000-0000-000011000000}"/>
    <cellStyle name="Accent5 - 40%" xfId="19" xr:uid="{00000000-0005-0000-0000-000012000000}"/>
    <cellStyle name="Accent5 - 60%" xfId="20" xr:uid="{00000000-0005-0000-0000-000013000000}"/>
    <cellStyle name="Accent6" xfId="21" builtinId="49" customBuiltin="1"/>
    <cellStyle name="Accent6 - 20%" xfId="22" xr:uid="{00000000-0005-0000-0000-000015000000}"/>
    <cellStyle name="Accent6 - 40%" xfId="23" xr:uid="{00000000-0005-0000-0000-000016000000}"/>
    <cellStyle name="Accent6 - 60%" xfId="24" xr:uid="{00000000-0005-0000-0000-000017000000}"/>
    <cellStyle name="Bad" xfId="25" builtinId="27" customBuiltin="1"/>
    <cellStyle name="Calculation" xfId="26" builtinId="22" customBuiltin="1"/>
    <cellStyle name="Check Cell" xfId="27" builtinId="23" customBuiltin="1"/>
    <cellStyle name="Comma" xfId="28" builtinId="3"/>
    <cellStyle name="Comma 2" xfId="47" xr:uid="{00000000-0005-0000-0000-00001C000000}"/>
    <cellStyle name="Comma 2 2" xfId="50" xr:uid="{00000000-0005-0000-0000-00001D000000}"/>
    <cellStyle name="Comma 2 3" xfId="57" xr:uid="{5AEC169F-5E0B-4FAD-9C72-917965AF7AD8}"/>
    <cellStyle name="Comma 3" xfId="51" xr:uid="{6452B4B5-9044-4B53-9E7B-B9FC62E07CD2}"/>
    <cellStyle name="Comma 3 2" xfId="55" xr:uid="{71D52E3E-39EC-4780-AD1C-E077E1E24B8F}"/>
    <cellStyle name="Comma 4" xfId="58" xr:uid="{A8A7E88C-8CC6-4813-B415-2A91CCC09EE1}"/>
    <cellStyle name="Emphasis 1" xfId="29" xr:uid="{00000000-0005-0000-0000-00001E000000}"/>
    <cellStyle name="Emphasis 2" xfId="30" xr:uid="{00000000-0005-0000-0000-00001F000000}"/>
    <cellStyle name="Emphasis 3" xfId="31" xr:uid="{00000000-0005-0000-0000-000020000000}"/>
    <cellStyle name="Followed Hyperlink" xfId="49" builtinId="9"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ustomBuiltin="1"/>
    <cellStyle name="Input" xfId="38" builtinId="20" customBuiltin="1"/>
    <cellStyle name="Linked Cell" xfId="39" builtinId="24" customBuiltin="1"/>
    <cellStyle name="Neutral" xfId="40" builtinId="28" customBuiltin="1"/>
    <cellStyle name="Normal" xfId="0" builtinId="0"/>
    <cellStyle name="Normal 2" xfId="46" xr:uid="{00000000-0005-0000-0000-00002C000000}"/>
    <cellStyle name="Normal 3" xfId="48" xr:uid="{00000000-0005-0000-0000-00002D000000}"/>
    <cellStyle name="Normal 4" xfId="52" xr:uid="{94369544-209A-44D2-AF0E-A4F40FF16B57}"/>
    <cellStyle name="Normal 4 2" xfId="53" xr:uid="{62463D25-4A3E-4310-BEA9-49A1F9EB282F}"/>
    <cellStyle name="Normal 5" xfId="56" xr:uid="{03BC288A-87FC-4FE6-B731-D66A182A6423}"/>
    <cellStyle name="Normal 8" xfId="54" xr:uid="{C840CEAE-97E2-4DE1-A00C-04264D1C447C}"/>
    <cellStyle name="Note" xfId="41" builtinId="10" customBuiltin="1"/>
    <cellStyle name="Output" xfId="42" builtinId="21" customBuiltin="1"/>
    <cellStyle name="Percent" xfId="59" builtinId="5"/>
    <cellStyle name="Sheet Title" xfId="43" xr:uid="{00000000-0005-0000-0000-000030000000}"/>
    <cellStyle name="Total" xfId="44" builtinId="25" customBuiltin="1"/>
    <cellStyle name="Warning Text" xfId="45" builtinId="11" customBuiltin="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svg"/><Relationship Id="rId13" Type="http://schemas.openxmlformats.org/officeDocument/2006/relationships/image" Target="../media/image8.png"/><Relationship Id="rId18" Type="http://schemas.openxmlformats.org/officeDocument/2006/relationships/image" Target="../media/image12.svg"/><Relationship Id="rId26" Type="http://schemas.openxmlformats.org/officeDocument/2006/relationships/image" Target="../media/image18.png"/><Relationship Id="rId3" Type="http://schemas.openxmlformats.org/officeDocument/2006/relationships/image" Target="../media/image2.svg"/><Relationship Id="rId21" Type="http://schemas.openxmlformats.org/officeDocument/2006/relationships/image" Target="../media/image14.png"/><Relationship Id="rId7" Type="http://schemas.openxmlformats.org/officeDocument/2006/relationships/image" Target="../media/image4.png"/><Relationship Id="rId12" Type="http://schemas.openxmlformats.org/officeDocument/2006/relationships/hyperlink" Target="#'Variances '!A1"/><Relationship Id="rId17" Type="http://schemas.openxmlformats.org/officeDocument/2006/relationships/image" Target="../media/image11.png"/><Relationship Id="rId25" Type="http://schemas.openxmlformats.org/officeDocument/2006/relationships/hyperlink" Target="#Balances!A1"/><Relationship Id="rId2" Type="http://schemas.openxmlformats.org/officeDocument/2006/relationships/image" Target="../media/image1.png"/><Relationship Id="rId16" Type="http://schemas.openxmlformats.org/officeDocument/2006/relationships/hyperlink" Target="#Receipts!A1"/><Relationship Id="rId20" Type="http://schemas.openxmlformats.org/officeDocument/2006/relationships/hyperlink" Target="#Payments!A1"/><Relationship Id="rId29" Type="http://schemas.openxmlformats.org/officeDocument/2006/relationships/image" Target="../media/image20.png"/><Relationship Id="rId1" Type="http://schemas.openxmlformats.org/officeDocument/2006/relationships/hyperlink" Target="#'Budget Analysis'!A1"/><Relationship Id="rId6" Type="http://schemas.openxmlformats.org/officeDocument/2006/relationships/hyperlink" Target="#'Audit reconciliation'!A1"/><Relationship Id="rId11" Type="http://schemas.openxmlformats.org/officeDocument/2006/relationships/image" Target="../media/image7.svg"/><Relationship Id="rId24" Type="http://schemas.openxmlformats.org/officeDocument/2006/relationships/image" Target="../media/image17.svg"/><Relationship Id="rId5" Type="http://schemas.openxmlformats.org/officeDocument/2006/relationships/image" Target="../media/image3.png"/><Relationship Id="rId15" Type="http://schemas.openxmlformats.org/officeDocument/2006/relationships/image" Target="../media/image10.jpeg"/><Relationship Id="rId23" Type="http://schemas.openxmlformats.org/officeDocument/2006/relationships/image" Target="../media/image16.png"/><Relationship Id="rId28" Type="http://schemas.openxmlformats.org/officeDocument/2006/relationships/hyperlink" Target="#'Audit Bank rec'!A1"/><Relationship Id="rId10" Type="http://schemas.openxmlformats.org/officeDocument/2006/relationships/image" Target="../media/image6.png"/><Relationship Id="rId19" Type="http://schemas.openxmlformats.org/officeDocument/2006/relationships/image" Target="../media/image13.emf"/><Relationship Id="rId4" Type="http://schemas.openxmlformats.org/officeDocument/2006/relationships/hyperlink" Target="#'Cash flow'!A1"/><Relationship Id="rId9" Type="http://schemas.openxmlformats.org/officeDocument/2006/relationships/hyperlink" Target="#'Asset Register'!A1"/><Relationship Id="rId14" Type="http://schemas.openxmlformats.org/officeDocument/2006/relationships/image" Target="../media/image9.svg"/><Relationship Id="rId22" Type="http://schemas.openxmlformats.org/officeDocument/2006/relationships/image" Target="../media/image15.svg"/><Relationship Id="rId27" Type="http://schemas.openxmlformats.org/officeDocument/2006/relationships/image" Target="../media/image19.svg"/><Relationship Id="rId30" Type="http://schemas.openxmlformats.org/officeDocument/2006/relationships/image" Target="../media/image21.svg"/></Relationships>
</file>

<file path=xl/drawings/_rels/drawing10.xml.rels><?xml version="1.0" encoding="UTF-8" standalone="yes"?>
<Relationships xmlns="http://schemas.openxmlformats.org/package/2006/relationships"><Relationship Id="rId3" Type="http://schemas.openxmlformats.org/officeDocument/2006/relationships/image" Target="../media/image27.svg"/><Relationship Id="rId2" Type="http://schemas.openxmlformats.org/officeDocument/2006/relationships/image" Target="../media/image26.png"/><Relationship Id="rId1"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image" Target="../media/image22.svg"/><Relationship Id="rId2" Type="http://schemas.openxmlformats.org/officeDocument/2006/relationships/image" Target="../media/image16.png"/><Relationship Id="rId1" Type="http://schemas.openxmlformats.org/officeDocument/2006/relationships/hyperlink" Target="#Summary!A1"/></Relationships>
</file>

<file path=xl/drawings/_rels/drawing3.xml.rels><?xml version="1.0" encoding="UTF-8" standalone="yes"?>
<Relationships xmlns="http://schemas.openxmlformats.org/package/2006/relationships"><Relationship Id="rId3" Type="http://schemas.openxmlformats.org/officeDocument/2006/relationships/image" Target="../media/image22.svg"/><Relationship Id="rId2" Type="http://schemas.openxmlformats.org/officeDocument/2006/relationships/image" Target="../media/image16.png"/><Relationship Id="rId1" Type="http://schemas.openxmlformats.org/officeDocument/2006/relationships/hyperlink" Target="#Summary!A1"/><Relationship Id="rId4" Type="http://schemas.openxmlformats.org/officeDocument/2006/relationships/image" Target="../media/image2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5.svg"/><Relationship Id="rId2" Type="http://schemas.openxmlformats.org/officeDocument/2006/relationships/image" Target="../media/image24.png"/><Relationship Id="rId1" Type="http://schemas.openxmlformats.org/officeDocument/2006/relationships/hyperlink" Target="#Summary!A1"/><Relationship Id="rId5" Type="http://schemas.openxmlformats.org/officeDocument/2006/relationships/image" Target="../media/image22.svg"/><Relationship Id="rId4" Type="http://schemas.openxmlformats.org/officeDocument/2006/relationships/image" Target="../media/image16.png"/></Relationships>
</file>

<file path=xl/drawings/_rels/drawing5.xml.rels><?xml version="1.0" encoding="UTF-8" standalone="yes"?>
<Relationships xmlns="http://schemas.openxmlformats.org/package/2006/relationships"><Relationship Id="rId3" Type="http://schemas.openxmlformats.org/officeDocument/2006/relationships/image" Target="../media/image27.svg"/><Relationship Id="rId2" Type="http://schemas.openxmlformats.org/officeDocument/2006/relationships/image" Target="../media/image26.png"/><Relationship Id="rId1" Type="http://schemas.openxmlformats.org/officeDocument/2006/relationships/hyperlink" Target="#Summary!A1"/></Relationships>
</file>

<file path=xl/drawings/_rels/drawing6.xml.rels><?xml version="1.0" encoding="UTF-8" standalone="yes"?>
<Relationships xmlns="http://schemas.openxmlformats.org/package/2006/relationships"><Relationship Id="rId3" Type="http://schemas.openxmlformats.org/officeDocument/2006/relationships/image" Target="../media/image27.svg"/><Relationship Id="rId2" Type="http://schemas.openxmlformats.org/officeDocument/2006/relationships/image" Target="../media/image26.png"/><Relationship Id="rId1" Type="http://schemas.openxmlformats.org/officeDocument/2006/relationships/hyperlink" Target="#Summary!A1"/></Relationships>
</file>

<file path=xl/drawings/_rels/drawing7.xml.rels><?xml version="1.0" encoding="UTF-8" standalone="yes"?>
<Relationships xmlns="http://schemas.openxmlformats.org/package/2006/relationships"><Relationship Id="rId3" Type="http://schemas.openxmlformats.org/officeDocument/2006/relationships/image" Target="../media/image28.svg"/><Relationship Id="rId2" Type="http://schemas.openxmlformats.org/officeDocument/2006/relationships/image" Target="../media/image26.png"/><Relationship Id="rId1" Type="http://schemas.openxmlformats.org/officeDocument/2006/relationships/hyperlink" Target="#Summary!A1"/></Relationships>
</file>

<file path=xl/drawings/_rels/drawing8.xml.rels><?xml version="1.0" encoding="UTF-8" standalone="yes"?>
<Relationships xmlns="http://schemas.openxmlformats.org/package/2006/relationships"><Relationship Id="rId3" Type="http://schemas.openxmlformats.org/officeDocument/2006/relationships/image" Target="../media/image27.svg"/><Relationship Id="rId2" Type="http://schemas.openxmlformats.org/officeDocument/2006/relationships/image" Target="../media/image26.png"/><Relationship Id="rId1" Type="http://schemas.openxmlformats.org/officeDocument/2006/relationships/hyperlink" Target="#Summary!A1"/></Relationships>
</file>

<file path=xl/drawings/_rels/drawing9.xml.rels><?xml version="1.0" encoding="UTF-8" standalone="yes"?>
<Relationships xmlns="http://schemas.openxmlformats.org/package/2006/relationships"><Relationship Id="rId3" Type="http://schemas.openxmlformats.org/officeDocument/2006/relationships/image" Target="../media/image27.svg"/><Relationship Id="rId2" Type="http://schemas.openxmlformats.org/officeDocument/2006/relationships/image" Target="../media/image26.png"/><Relationship Id="rId1" Type="http://schemas.openxmlformats.org/officeDocument/2006/relationships/hyperlink" Target="#Summary!A1"/></Relationships>
</file>

<file path=xl/drawings/drawing1.xml><?xml version="1.0" encoding="utf-8"?>
<xdr:wsDr xmlns:xdr="http://schemas.openxmlformats.org/drawingml/2006/spreadsheetDrawing" xmlns:a="http://schemas.openxmlformats.org/drawingml/2006/main">
  <xdr:twoCellAnchor editAs="oneCell">
    <xdr:from>
      <xdr:col>3</xdr:col>
      <xdr:colOff>466725</xdr:colOff>
      <xdr:row>4</xdr:row>
      <xdr:rowOff>180975</xdr:rowOff>
    </xdr:from>
    <xdr:to>
      <xdr:col>5</xdr:col>
      <xdr:colOff>83608</xdr:colOff>
      <xdr:row>8</xdr:row>
      <xdr:rowOff>26458</xdr:rowOff>
    </xdr:to>
    <xdr:pic>
      <xdr:nvPicPr>
        <xdr:cNvPr id="15" name="Graphic 14" descr="Presentation with bar chart">
          <a:hlinkClick xmlns:r="http://schemas.openxmlformats.org/officeDocument/2006/relationships" r:id="rId1"/>
          <a:extLst>
            <a:ext uri="{FF2B5EF4-FFF2-40B4-BE49-F238E27FC236}">
              <a16:creationId xmlns:a16="http://schemas.microsoft.com/office/drawing/2014/main" id="{5EF18953-805D-40C8-BD4D-F6EA99A049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95525" y="1276350"/>
          <a:ext cx="836083" cy="836083"/>
        </a:xfrm>
        <a:prstGeom prst="rect">
          <a:avLst/>
        </a:prstGeom>
      </xdr:spPr>
    </xdr:pic>
    <xdr:clientData/>
  </xdr:twoCellAnchor>
  <xdr:twoCellAnchor editAs="oneCell">
    <xdr:from>
      <xdr:col>17</xdr:col>
      <xdr:colOff>314325</xdr:colOff>
      <xdr:row>1</xdr:row>
      <xdr:rowOff>50800</xdr:rowOff>
    </xdr:from>
    <xdr:to>
      <xdr:col>17</xdr:col>
      <xdr:colOff>438150</xdr:colOff>
      <xdr:row>1</xdr:row>
      <xdr:rowOff>174625</xdr:rowOff>
    </xdr:to>
    <xdr:pic>
      <xdr:nvPicPr>
        <xdr:cNvPr id="7" name="Picture 7" descr="j0433807">
          <a:hlinkClick xmlns:r="http://schemas.openxmlformats.org/officeDocument/2006/relationships" r:id="rId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677525" y="2413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163003</xdr:colOff>
      <xdr:row>5</xdr:row>
      <xdr:rowOff>161926</xdr:rowOff>
    </xdr:from>
    <xdr:to>
      <xdr:col>12</xdr:col>
      <xdr:colOff>572577</xdr:colOff>
      <xdr:row>7</xdr:row>
      <xdr:rowOff>76200</xdr:rowOff>
    </xdr:to>
    <xdr:pic>
      <xdr:nvPicPr>
        <xdr:cNvPr id="8" name="Picture 9" descr="Register outline">
          <a:hlinkClick xmlns:r="http://schemas.openxmlformats.org/officeDocument/2006/relationships" r:id="rId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bwMode="auto">
        <a:xfrm>
          <a:off x="7525828" y="1504951"/>
          <a:ext cx="409574" cy="409574"/>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590550</xdr:colOff>
      <xdr:row>8</xdr:row>
      <xdr:rowOff>138916</xdr:rowOff>
    </xdr:from>
    <xdr:to>
      <xdr:col>12</xdr:col>
      <xdr:colOff>551447</xdr:colOff>
      <xdr:row>10</xdr:row>
      <xdr:rowOff>214113</xdr:rowOff>
    </xdr:to>
    <xdr:pic>
      <xdr:nvPicPr>
        <xdr:cNvPr id="9" name="Picture 10" descr="Gold bars with solid fill">
          <a:hlinkClick xmlns:r="http://schemas.openxmlformats.org/officeDocument/2006/relationships" r:id="rId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 uri="{96DAC541-7B7A-43D3-8B79-37D633B846F1}">
              <asvg:svgBlip xmlns:asvg="http://schemas.microsoft.com/office/drawing/2016/SVG/main" r:embed="rId11"/>
            </a:ext>
          </a:extLst>
        </a:blip>
        <a:srcRect/>
        <a:stretch/>
      </xdr:blipFill>
      <xdr:spPr bwMode="auto">
        <a:xfrm>
          <a:off x="7343775" y="2224891"/>
          <a:ext cx="570497" cy="570497"/>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91027</xdr:colOff>
      <xdr:row>10</xdr:row>
      <xdr:rowOff>244405</xdr:rowOff>
    </xdr:from>
    <xdr:to>
      <xdr:col>12</xdr:col>
      <xdr:colOff>575722</xdr:colOff>
      <xdr:row>12</xdr:row>
      <xdr:rowOff>233800</xdr:rowOff>
    </xdr:to>
    <xdr:pic>
      <xdr:nvPicPr>
        <xdr:cNvPr id="10" name="Picture 11" descr="Supply And Demand with solid fill">
          <a:hlinkClick xmlns:r="http://schemas.openxmlformats.org/officeDocument/2006/relationships" r:id="rId12"/>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rcRect/>
        <a:stretch/>
      </xdr:blipFill>
      <xdr:spPr bwMode="auto">
        <a:xfrm>
          <a:off x="7453852" y="2825680"/>
          <a:ext cx="484695" cy="484695"/>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76200</xdr:colOff>
      <xdr:row>1</xdr:row>
      <xdr:rowOff>38099</xdr:rowOff>
    </xdr:from>
    <xdr:to>
      <xdr:col>11</xdr:col>
      <xdr:colOff>76200</xdr:colOff>
      <xdr:row>2</xdr:row>
      <xdr:rowOff>428624</xdr:rowOff>
    </xdr:to>
    <xdr:sp macro="" textlink="">
      <xdr:nvSpPr>
        <xdr:cNvPr id="11" name="Text Box 12">
          <a:extLst>
            <a:ext uri="{FF2B5EF4-FFF2-40B4-BE49-F238E27FC236}">
              <a16:creationId xmlns:a16="http://schemas.microsoft.com/office/drawing/2014/main" id="{00000000-0008-0000-0000-00000B000000}"/>
            </a:ext>
          </a:extLst>
        </xdr:cNvPr>
        <xdr:cNvSpPr txBox="1">
          <a:spLocks noChangeArrowheads="1"/>
        </xdr:cNvSpPr>
      </xdr:nvSpPr>
      <xdr:spPr bwMode="auto">
        <a:xfrm>
          <a:off x="1295400" y="228599"/>
          <a:ext cx="553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700"/>
            </a:lnSpc>
            <a:defRPr sz="1000"/>
          </a:pPr>
          <a:r>
            <a:rPr lang="en-GB" sz="1800" b="0" i="0" u="none" strike="noStrike" baseline="0">
              <a:solidFill>
                <a:srgbClr val="000080"/>
              </a:solidFill>
              <a:latin typeface="Franklin Gothic Book"/>
            </a:rPr>
            <a:t>Nassington Parish Council </a:t>
          </a:r>
        </a:p>
        <a:p>
          <a:pPr algn="ctr" rtl="0">
            <a:lnSpc>
              <a:spcPts val="1700"/>
            </a:lnSpc>
            <a:defRPr sz="1000"/>
          </a:pPr>
          <a:r>
            <a:rPr lang="en-GB" sz="1800" b="0" i="0" u="none" strike="noStrike" baseline="0">
              <a:solidFill>
                <a:srgbClr val="000080"/>
              </a:solidFill>
              <a:latin typeface="Franklin Gothic Book"/>
            </a:rPr>
            <a:t>Accounts From 1 Apr 21 - 31 Mar 22</a:t>
          </a:r>
        </a:p>
        <a:p>
          <a:pPr algn="ctr" rtl="0">
            <a:lnSpc>
              <a:spcPts val="1200"/>
            </a:lnSpc>
            <a:defRPr sz="1000"/>
          </a:pPr>
          <a:endParaRPr lang="en-GB" sz="1200" b="0" i="0" u="none" strike="noStrike" baseline="0">
            <a:solidFill>
              <a:srgbClr val="000000"/>
            </a:solidFill>
            <a:latin typeface="Times New Roman"/>
            <a:cs typeface="Times New Roman"/>
          </a:endParaRPr>
        </a:p>
        <a:p>
          <a:pPr algn="ctr" rtl="0">
            <a:lnSpc>
              <a:spcPts val="1100"/>
            </a:lnSpc>
            <a:defRPr sz="1000"/>
          </a:pPr>
          <a:endParaRPr lang="en-GB" sz="1200" b="0" i="0" u="none" strike="noStrike" baseline="0">
            <a:solidFill>
              <a:srgbClr val="000000"/>
            </a:solidFill>
            <a:latin typeface="Times New Roman"/>
            <a:cs typeface="Times New Roman"/>
          </a:endParaRPr>
        </a:p>
      </xdr:txBody>
    </xdr:sp>
    <xdr:clientData/>
  </xdr:twoCellAnchor>
  <xdr:twoCellAnchor editAs="oneCell">
    <xdr:from>
      <xdr:col>17</xdr:col>
      <xdr:colOff>232601</xdr:colOff>
      <xdr:row>2</xdr:row>
      <xdr:rowOff>41275</xdr:rowOff>
    </xdr:from>
    <xdr:to>
      <xdr:col>17</xdr:col>
      <xdr:colOff>337497</xdr:colOff>
      <xdr:row>2</xdr:row>
      <xdr:rowOff>114301</xdr:rowOff>
    </xdr:to>
    <xdr:pic>
      <xdr:nvPicPr>
        <xdr:cNvPr id="14" name="Picture 8">
          <a:hlinkClick xmlns:r="http://schemas.openxmlformats.org/officeDocument/2006/relationships" r:id="rId6" tooltip="Click for working for audit annual statement of accounts "/>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0595801" y="422275"/>
          <a:ext cx="104896" cy="73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600075</xdr:colOff>
      <xdr:row>7</xdr:row>
      <xdr:rowOff>142875</xdr:rowOff>
    </xdr:from>
    <xdr:to>
      <xdr:col>4</xdr:col>
      <xdr:colOff>509058</xdr:colOff>
      <xdr:row>9</xdr:row>
      <xdr:rowOff>158630</xdr:rowOff>
    </xdr:to>
    <xdr:pic>
      <xdr:nvPicPr>
        <xdr:cNvPr id="16" name="Graphic 15" descr="Register">
          <a:hlinkClick xmlns:r="http://schemas.openxmlformats.org/officeDocument/2006/relationships" r:id="rId16"/>
          <a:extLst>
            <a:ext uri="{FF2B5EF4-FFF2-40B4-BE49-F238E27FC236}">
              <a16:creationId xmlns:a16="http://schemas.microsoft.com/office/drawing/2014/main" id="{BCF36F60-6E1B-4C26-A37E-7441E006C52D}"/>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2428875" y="1981200"/>
          <a:ext cx="518583" cy="511055"/>
        </a:xfrm>
        <a:prstGeom prst="rect">
          <a:avLst/>
        </a:prstGeom>
      </xdr:spPr>
    </xdr:pic>
    <xdr:clientData/>
  </xdr:twoCellAnchor>
  <xdr:twoCellAnchor editAs="oneCell">
    <xdr:from>
      <xdr:col>4</xdr:col>
      <xdr:colOff>600075</xdr:colOff>
      <xdr:row>26</xdr:row>
      <xdr:rowOff>38100</xdr:rowOff>
    </xdr:from>
    <xdr:to>
      <xdr:col>6</xdr:col>
      <xdr:colOff>285750</xdr:colOff>
      <xdr:row>27</xdr:row>
      <xdr:rowOff>85725</xdr:rowOff>
    </xdr:to>
    <xdr:pic>
      <xdr:nvPicPr>
        <xdr:cNvPr id="17" name="Picture 16">
          <a:extLst>
            <a:ext uri="{FF2B5EF4-FFF2-40B4-BE49-F238E27FC236}">
              <a16:creationId xmlns:a16="http://schemas.microsoft.com/office/drawing/2014/main" id="{DA9B1A48-3FCF-4AD6-8F5E-131992869167}"/>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3038475" y="6315075"/>
          <a:ext cx="9048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552450</xdr:colOff>
      <xdr:row>9</xdr:row>
      <xdr:rowOff>114300</xdr:rowOff>
    </xdr:from>
    <xdr:to>
      <xdr:col>4</xdr:col>
      <xdr:colOff>482601</xdr:colOff>
      <xdr:row>11</xdr:row>
      <xdr:rowOff>158751</xdr:rowOff>
    </xdr:to>
    <xdr:pic>
      <xdr:nvPicPr>
        <xdr:cNvPr id="18" name="Graphic 17" descr="Shopping cart">
          <a:hlinkClick xmlns:r="http://schemas.openxmlformats.org/officeDocument/2006/relationships" r:id="rId20"/>
          <a:extLst>
            <a:ext uri="{FF2B5EF4-FFF2-40B4-BE49-F238E27FC236}">
              <a16:creationId xmlns:a16="http://schemas.microsoft.com/office/drawing/2014/main" id="{27B5EC0C-A676-4F2F-AC4C-66FC0ACF484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381250" y="2447925"/>
          <a:ext cx="539751" cy="539751"/>
        </a:xfrm>
        <a:prstGeom prst="rect">
          <a:avLst/>
        </a:prstGeom>
      </xdr:spPr>
    </xdr:pic>
    <xdr:clientData/>
  </xdr:twoCellAnchor>
  <xdr:twoCellAnchor editAs="oneCell">
    <xdr:from>
      <xdr:col>7</xdr:col>
      <xdr:colOff>238125</xdr:colOff>
      <xdr:row>14</xdr:row>
      <xdr:rowOff>38100</xdr:rowOff>
    </xdr:from>
    <xdr:to>
      <xdr:col>8</xdr:col>
      <xdr:colOff>274108</xdr:colOff>
      <xdr:row>16</xdr:row>
      <xdr:rowOff>188383</xdr:rowOff>
    </xdr:to>
    <xdr:pic>
      <xdr:nvPicPr>
        <xdr:cNvPr id="19" name="Graphic 18" descr="House">
          <a:extLst>
            <a:ext uri="{FF2B5EF4-FFF2-40B4-BE49-F238E27FC236}">
              <a16:creationId xmlns:a16="http://schemas.microsoft.com/office/drawing/2014/main" id="{B574C8A3-A597-4E61-A120-182A70779E65}"/>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4505325" y="3857625"/>
          <a:ext cx="645583" cy="645583"/>
        </a:xfrm>
        <a:prstGeom prst="rect">
          <a:avLst/>
        </a:prstGeom>
      </xdr:spPr>
    </xdr:pic>
    <xdr:clientData/>
  </xdr:twoCellAnchor>
  <xdr:twoCellAnchor editAs="oneCell">
    <xdr:from>
      <xdr:col>4</xdr:col>
      <xdr:colOff>28575</xdr:colOff>
      <xdr:row>11</xdr:row>
      <xdr:rowOff>171450</xdr:rowOff>
    </xdr:from>
    <xdr:to>
      <xdr:col>4</xdr:col>
      <xdr:colOff>515408</xdr:colOff>
      <xdr:row>13</xdr:row>
      <xdr:rowOff>162983</xdr:rowOff>
    </xdr:to>
    <xdr:pic>
      <xdr:nvPicPr>
        <xdr:cNvPr id="20" name="Graphic 19" descr="Pound">
          <a:hlinkClick xmlns:r="http://schemas.openxmlformats.org/officeDocument/2006/relationships" r:id="rId25"/>
          <a:extLst>
            <a:ext uri="{FF2B5EF4-FFF2-40B4-BE49-F238E27FC236}">
              <a16:creationId xmlns:a16="http://schemas.microsoft.com/office/drawing/2014/main" id="{8B693A3C-FB33-4BDA-9A0A-C239D74DCE90}"/>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2466975" y="3000375"/>
          <a:ext cx="486833" cy="486833"/>
        </a:xfrm>
        <a:prstGeom prst="rect">
          <a:avLst/>
        </a:prstGeom>
      </xdr:spPr>
    </xdr:pic>
    <xdr:clientData/>
  </xdr:twoCellAnchor>
  <xdr:twoCellAnchor editAs="oneCell">
    <xdr:from>
      <xdr:col>12</xdr:col>
      <xdr:colOff>180975</xdr:colOff>
      <xdr:row>6</xdr:row>
      <xdr:rowOff>219075</xdr:rowOff>
    </xdr:from>
    <xdr:to>
      <xdr:col>12</xdr:col>
      <xdr:colOff>600075</xdr:colOff>
      <xdr:row>8</xdr:row>
      <xdr:rowOff>142875</xdr:rowOff>
    </xdr:to>
    <xdr:pic>
      <xdr:nvPicPr>
        <xdr:cNvPr id="3" name="Graphic 2" descr="Bank with solid fill">
          <a:hlinkClick xmlns:r="http://schemas.openxmlformats.org/officeDocument/2006/relationships" r:id="rId28"/>
          <a:extLst>
            <a:ext uri="{FF2B5EF4-FFF2-40B4-BE49-F238E27FC236}">
              <a16:creationId xmlns:a16="http://schemas.microsoft.com/office/drawing/2014/main" id="{D19EF8BF-41D7-4B40-AE3D-7151FCD16F57}"/>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 uri="{96DAC541-7B7A-43D3-8B79-37D633B846F1}">
              <asvg:svgBlip xmlns:asvg="http://schemas.microsoft.com/office/drawing/2016/SVG/main" r:embed="rId30"/>
            </a:ext>
          </a:extLst>
        </a:blip>
        <a:stretch>
          <a:fillRect/>
        </a:stretch>
      </xdr:blipFill>
      <xdr:spPr>
        <a:xfrm>
          <a:off x="7543800" y="1809750"/>
          <a:ext cx="419100" cy="419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581025</xdr:colOff>
      <xdr:row>2</xdr:row>
      <xdr:rowOff>381000</xdr:rowOff>
    </xdr:to>
    <xdr:pic>
      <xdr:nvPicPr>
        <xdr:cNvPr id="3" name="Picture 2" descr="House with solid fill">
          <a:hlinkClick xmlns:r="http://schemas.openxmlformats.org/officeDocument/2006/relationships" r:id="rId1"/>
          <a:extLst>
            <a:ext uri="{FF2B5EF4-FFF2-40B4-BE49-F238E27FC236}">
              <a16:creationId xmlns:a16="http://schemas.microsoft.com/office/drawing/2014/main" id="{C9CC4577-4887-43AE-8C90-E2683F10C3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704850" y="190500"/>
          <a:ext cx="581025" cy="5810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133350</xdr:colOff>
      <xdr:row>0</xdr:row>
      <xdr:rowOff>9525</xdr:rowOff>
    </xdr:from>
    <xdr:to>
      <xdr:col>5</xdr:col>
      <xdr:colOff>1095375</xdr:colOff>
      <xdr:row>1</xdr:row>
      <xdr:rowOff>19050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742950" y="9525"/>
          <a:ext cx="651510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GB" sz="1100" b="0" i="0" u="none" strike="noStrike" baseline="0">
              <a:solidFill>
                <a:srgbClr val="000000"/>
              </a:solidFill>
              <a:latin typeface="Arial"/>
              <a:cs typeface="Arial"/>
            </a:rPr>
            <a:t>Invoice details</a:t>
          </a: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xdr:txBody>
    </xdr:sp>
    <xdr:clientData/>
  </xdr:twoCellAnchor>
  <xdr:twoCellAnchor>
    <xdr:from>
      <xdr:col>1</xdr:col>
      <xdr:colOff>114300</xdr:colOff>
      <xdr:row>2</xdr:row>
      <xdr:rowOff>0</xdr:rowOff>
    </xdr:from>
    <xdr:to>
      <xdr:col>6</xdr:col>
      <xdr:colOff>9525</xdr:colOff>
      <xdr:row>5</xdr:row>
      <xdr:rowOff>57150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723900" y="219075"/>
          <a:ext cx="664845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50" b="0" i="0" u="none" strike="noStrike" baseline="0">
              <a:solidFill>
                <a:srgbClr val="000000"/>
              </a:solidFill>
              <a:latin typeface="Arial"/>
              <a:cs typeface="Arial"/>
            </a:rPr>
            <a:t>On 1 April 2000 a three year time limit for claiming VAT refunds was introduced. From that date any VAT incurred on goods and services received more than three years after the end of the month in which you received them cannot be refunded; paragraph 12.3 of Notice 749 (April 2002 version) refers.</a:t>
          </a:r>
        </a:p>
      </xdr:txBody>
    </xdr:sp>
    <xdr:clientData/>
  </xdr:twoCellAnchor>
  <xdr:twoCellAnchor>
    <xdr:from>
      <xdr:col>1</xdr:col>
      <xdr:colOff>114300</xdr:colOff>
      <xdr:row>47</xdr:row>
      <xdr:rowOff>276225</xdr:rowOff>
    </xdr:from>
    <xdr:to>
      <xdr:col>5</xdr:col>
      <xdr:colOff>1181100</xdr:colOff>
      <xdr:row>48</xdr:row>
      <xdr:rowOff>219075</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723900" y="7791450"/>
          <a:ext cx="6619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I, </a:t>
          </a:r>
          <a:r>
            <a:rPr lang="en-GB" sz="1200" b="1" i="0" u="none" strike="noStrike" baseline="0">
              <a:solidFill>
                <a:srgbClr val="000000"/>
              </a:solidFill>
              <a:latin typeface="Arial"/>
              <a:cs typeface="Arial"/>
            </a:rPr>
            <a:t>Sarah Jane Rodger (Clerk &amp; RFO)</a:t>
          </a:r>
        </a:p>
      </xdr:txBody>
    </xdr:sp>
    <xdr:clientData/>
  </xdr:twoCellAnchor>
  <xdr:twoCellAnchor>
    <xdr:from>
      <xdr:col>1</xdr:col>
      <xdr:colOff>66675</xdr:colOff>
      <xdr:row>50</xdr:row>
      <xdr:rowOff>76200</xdr:rowOff>
    </xdr:from>
    <xdr:to>
      <xdr:col>5</xdr:col>
      <xdr:colOff>1162050</xdr:colOff>
      <xdr:row>54</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676275" y="8296275"/>
          <a:ext cx="6648450" cy="952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980" b="0" i="0" u="none" strike="noStrike" baseline="0">
              <a:solidFill>
                <a:srgbClr val="000000"/>
              </a:solidFill>
              <a:latin typeface="Arial"/>
              <a:cs typeface="Arial"/>
            </a:rPr>
            <a:t>which is the VAT charged on goods and services bought for non-business activities. *The tax claimed includes VAT incurred for exempt business activities which can be reclaimed under paragraph 5.5 of Notice 749 (April 2002).</a:t>
          </a:r>
        </a:p>
        <a:p>
          <a:pPr algn="l" rtl="0">
            <a:defRPr sz="1000"/>
          </a:pPr>
          <a:r>
            <a:rPr lang="en-GB" sz="980" b="0" i="0" u="none" strike="noStrike" baseline="0">
              <a:solidFill>
                <a:srgbClr val="000000"/>
              </a:solidFill>
              <a:latin typeface="Arial"/>
              <a:cs typeface="Arial"/>
            </a:rPr>
            <a:t>The body named above makes no taxable supplies and is not registered for VAT, if requested I will produce tax invoices to support this claim.</a:t>
          </a:r>
        </a:p>
        <a:p>
          <a:pPr algn="l" rtl="0">
            <a:defRPr sz="1000"/>
          </a:pPr>
          <a:r>
            <a:rPr lang="en-GB" sz="980" b="0" i="0" u="none" strike="noStrike" baseline="0">
              <a:solidFill>
                <a:srgbClr val="000000"/>
              </a:solidFill>
              <a:latin typeface="Arial"/>
              <a:cs typeface="Arial"/>
            </a:rPr>
            <a:t>Signature  ..................................................................................................     Date  .........................................</a:t>
          </a:r>
        </a:p>
        <a:p>
          <a:pPr algn="l" rtl="0">
            <a:defRPr sz="1000"/>
          </a:pPr>
          <a:r>
            <a:rPr lang="en-GB" sz="980" b="0" i="0" u="none" strike="noStrike" baseline="0">
              <a:solidFill>
                <a:srgbClr val="000000"/>
              </a:solidFill>
              <a:latin typeface="Arial"/>
              <a:cs typeface="Arial"/>
            </a:rPr>
            <a:t>               (Designated responsible officer) </a:t>
          </a:r>
        </a:p>
        <a:p>
          <a:pPr algn="l" rtl="0">
            <a:defRPr sz="1000"/>
          </a:pPr>
          <a:r>
            <a:rPr lang="en-GB" sz="980" b="0" i="0" u="none" strike="noStrike" baseline="0">
              <a:solidFill>
                <a:srgbClr val="000000"/>
              </a:solidFill>
              <a:latin typeface="Arial"/>
              <a:cs typeface="Arial"/>
            </a:rPr>
            <a:t>*Delete as appropriate</a:t>
          </a:r>
        </a:p>
      </xdr:txBody>
    </xdr:sp>
    <xdr:clientData/>
  </xdr:twoCellAnchor>
  <xdr:twoCellAnchor>
    <xdr:from>
      <xdr:col>1</xdr:col>
      <xdr:colOff>38100</xdr:colOff>
      <xdr:row>54</xdr:row>
      <xdr:rowOff>19050</xdr:rowOff>
    </xdr:from>
    <xdr:to>
      <xdr:col>5</xdr:col>
      <xdr:colOff>1143000</xdr:colOff>
      <xdr:row>57</xdr:row>
      <xdr:rowOff>76200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647700" y="9267825"/>
          <a:ext cx="6657975" cy="8572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950" b="0" i="0" u="none" strike="noStrike" baseline="0">
              <a:solidFill>
                <a:srgbClr val="000000"/>
              </a:solidFill>
              <a:latin typeface="Arial"/>
              <a:cs typeface="Arial"/>
            </a:rPr>
            <a:t>                                                                    Data Protection Act 1998</a:t>
          </a:r>
        </a:p>
        <a:p>
          <a:pPr algn="l" rtl="0">
            <a:defRPr sz="1000"/>
          </a:pPr>
          <a:r>
            <a:rPr lang="en-GB" sz="950" b="0" i="0" u="none" strike="noStrike" baseline="0">
              <a:solidFill>
                <a:srgbClr val="000000"/>
              </a:solidFill>
              <a:latin typeface="Arial"/>
              <a:cs typeface="Arial"/>
            </a:rPr>
            <a:t>HM Revenue &amp; Customs collects information in order to administer the taxes for which it is responsible (such as VAT, insurance premium tax, excise duties, air passenger duty, landfill tax), and for detecting and preventing crime.</a:t>
          </a:r>
        </a:p>
        <a:p>
          <a:pPr algn="l" rtl="0">
            <a:defRPr sz="1000"/>
          </a:pPr>
          <a:r>
            <a:rPr lang="en-GB" sz="950" b="0" i="0" u="none" strike="noStrike" baseline="0">
              <a:solidFill>
                <a:srgbClr val="000000"/>
              </a:solidFill>
              <a:latin typeface="Arial"/>
              <a:cs typeface="Arial"/>
            </a:rPr>
            <a:t>Where the law permits we may also get information about you from third parties, or give information to them, for example in order to check its accuracy, prevent or detect crime or protect public funds in other ways. These third parties may include the police, other government departments and agencies</a:t>
          </a:r>
          <a:r>
            <a:rPr lang="en-GB" sz="1000" b="0" i="0" u="none" strike="noStrike" baseline="0">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790575</xdr:colOff>
      <xdr:row>0</xdr:row>
      <xdr:rowOff>85725</xdr:rowOff>
    </xdr:from>
    <xdr:to>
      <xdr:col>17</xdr:col>
      <xdr:colOff>342899</xdr:colOff>
      <xdr:row>2</xdr:row>
      <xdr:rowOff>361949</xdr:rowOff>
    </xdr:to>
    <xdr:pic>
      <xdr:nvPicPr>
        <xdr:cNvPr id="3" name="Graphic 2" descr="House">
          <a:hlinkClick xmlns:r="http://schemas.openxmlformats.org/officeDocument/2006/relationships" r:id="rId1"/>
          <a:extLst>
            <a:ext uri="{FF2B5EF4-FFF2-40B4-BE49-F238E27FC236}">
              <a16:creationId xmlns:a16="http://schemas.microsoft.com/office/drawing/2014/main" id="{68CF6508-EDC8-4996-9721-E2FA88560A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915525" y="85725"/>
          <a:ext cx="533399" cy="5333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416983</xdr:colOff>
      <xdr:row>3</xdr:row>
      <xdr:rowOff>74083</xdr:rowOff>
    </xdr:to>
    <xdr:pic>
      <xdr:nvPicPr>
        <xdr:cNvPr id="3" name="Graphic 2" descr="House">
          <a:hlinkClick xmlns:r="http://schemas.openxmlformats.org/officeDocument/2006/relationships" r:id="rId1"/>
          <a:extLst>
            <a:ext uri="{FF2B5EF4-FFF2-40B4-BE49-F238E27FC236}">
              <a16:creationId xmlns:a16="http://schemas.microsoft.com/office/drawing/2014/main" id="{6B61906B-1E7E-44FF-B438-140D41C821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645583" cy="645583"/>
        </a:xfrm>
        <a:prstGeom prst="rect">
          <a:avLst/>
        </a:prstGeom>
      </xdr:spPr>
    </xdr:pic>
    <xdr:clientData/>
  </xdr:twoCellAnchor>
  <xdr:twoCellAnchor editAs="oneCell">
    <xdr:from>
      <xdr:col>14</xdr:col>
      <xdr:colOff>228600</xdr:colOff>
      <xdr:row>0</xdr:row>
      <xdr:rowOff>76200</xdr:rowOff>
    </xdr:from>
    <xdr:to>
      <xdr:col>15</xdr:col>
      <xdr:colOff>504825</xdr:colOff>
      <xdr:row>3</xdr:row>
      <xdr:rowOff>9525</xdr:rowOff>
    </xdr:to>
    <xdr:pic>
      <xdr:nvPicPr>
        <xdr:cNvPr id="3073" name="Picture 1" descr="j0431495">
          <a:hlinkClick xmlns:r="http://schemas.openxmlformats.org/officeDocument/2006/relationships" r:id="rId1"/>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677525" y="76200"/>
          <a:ext cx="5048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904875</xdr:colOff>
      <xdr:row>128</xdr:row>
      <xdr:rowOff>95250</xdr:rowOff>
    </xdr:from>
    <xdr:to>
      <xdr:col>14</xdr:col>
      <xdr:colOff>1525683</xdr:colOff>
      <xdr:row>131</xdr:row>
      <xdr:rowOff>128869</xdr:rowOff>
    </xdr:to>
    <xdr:pic>
      <xdr:nvPicPr>
        <xdr:cNvPr id="4" name="Graphic 3" descr="House">
          <a:hlinkClick xmlns:r="http://schemas.openxmlformats.org/officeDocument/2006/relationships" r:id="rId1"/>
          <a:extLst>
            <a:ext uri="{FF2B5EF4-FFF2-40B4-BE49-F238E27FC236}">
              <a16:creationId xmlns:a16="http://schemas.microsoft.com/office/drawing/2014/main" id="{54D8561D-E01E-4343-9C7D-A3A35EA7C63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830050" y="10115550"/>
          <a:ext cx="620808" cy="614644"/>
        </a:xfrm>
        <a:prstGeom prst="rect">
          <a:avLst/>
        </a:prstGeom>
      </xdr:spPr>
    </xdr:pic>
    <xdr:clientData/>
  </xdr:twoCellAnchor>
  <xdr:twoCellAnchor editAs="oneCell">
    <xdr:from>
      <xdr:col>0</xdr:col>
      <xdr:colOff>1</xdr:colOff>
      <xdr:row>0</xdr:row>
      <xdr:rowOff>1</xdr:rowOff>
    </xdr:from>
    <xdr:to>
      <xdr:col>2</xdr:col>
      <xdr:colOff>302560</xdr:colOff>
      <xdr:row>1</xdr:row>
      <xdr:rowOff>369794</xdr:rowOff>
    </xdr:to>
    <xdr:pic>
      <xdr:nvPicPr>
        <xdr:cNvPr id="3" name="Graphic 2" descr="House">
          <a:hlinkClick xmlns:r="http://schemas.openxmlformats.org/officeDocument/2006/relationships" r:id="rId1"/>
          <a:extLst>
            <a:ext uri="{FF2B5EF4-FFF2-40B4-BE49-F238E27FC236}">
              <a16:creationId xmlns:a16="http://schemas.microsoft.com/office/drawing/2014/main" id="{FBF83487-F035-435C-A34E-575DDC9662B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 y="1"/>
          <a:ext cx="571500" cy="571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567285</xdr:colOff>
      <xdr:row>3</xdr:row>
      <xdr:rowOff>47625</xdr:rowOff>
    </xdr:to>
    <xdr:pic>
      <xdr:nvPicPr>
        <xdr:cNvPr id="3" name="Graphic 2" descr="House">
          <a:hlinkClick xmlns:r="http://schemas.openxmlformats.org/officeDocument/2006/relationships" r:id="rId1"/>
          <a:extLst>
            <a:ext uri="{FF2B5EF4-FFF2-40B4-BE49-F238E27FC236}">
              <a16:creationId xmlns:a16="http://schemas.microsoft.com/office/drawing/2014/main" id="{0850A8B5-9286-4305-87A5-AB811FF981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567285" cy="542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361949</xdr:colOff>
      <xdr:row>4</xdr:row>
      <xdr:rowOff>47624</xdr:rowOff>
    </xdr:from>
    <xdr:to>
      <xdr:col>1</xdr:col>
      <xdr:colOff>333374</xdr:colOff>
      <xdr:row>7</xdr:row>
      <xdr:rowOff>38099</xdr:rowOff>
    </xdr:to>
    <xdr:pic>
      <xdr:nvPicPr>
        <xdr:cNvPr id="3" name="Picture 2" descr="House with solid fill">
          <a:hlinkClick xmlns:r="http://schemas.openxmlformats.org/officeDocument/2006/relationships" r:id="rId1"/>
          <a:extLst>
            <a:ext uri="{FF2B5EF4-FFF2-40B4-BE49-F238E27FC236}">
              <a16:creationId xmlns:a16="http://schemas.microsoft.com/office/drawing/2014/main" id="{7098A793-E819-4101-835B-8A7B34DA10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361949" y="619124"/>
          <a:ext cx="58102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2</xdr:row>
      <xdr:rowOff>0</xdr:rowOff>
    </xdr:from>
    <xdr:to>
      <xdr:col>7</xdr:col>
      <xdr:colOff>581025</xdr:colOff>
      <xdr:row>3</xdr:row>
      <xdr:rowOff>142875</xdr:rowOff>
    </xdr:to>
    <xdr:pic>
      <xdr:nvPicPr>
        <xdr:cNvPr id="8" name="Picture 2" descr="House with solid fill">
          <a:hlinkClick xmlns:r="http://schemas.openxmlformats.org/officeDocument/2006/relationships" r:id="rId1"/>
          <a:extLst>
            <a:ext uri="{FF2B5EF4-FFF2-40B4-BE49-F238E27FC236}">
              <a16:creationId xmlns:a16="http://schemas.microsoft.com/office/drawing/2014/main" id="{97470C7C-770F-4753-BF59-65D21EF128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6115050" y="409575"/>
          <a:ext cx="58102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581025</xdr:colOff>
      <xdr:row>4</xdr:row>
      <xdr:rowOff>76200</xdr:rowOff>
    </xdr:to>
    <xdr:pic>
      <xdr:nvPicPr>
        <xdr:cNvPr id="3" name="Picture 2" descr="House with solid fill">
          <a:hlinkClick xmlns:r="http://schemas.openxmlformats.org/officeDocument/2006/relationships" r:id="rId1"/>
          <a:extLst>
            <a:ext uri="{FF2B5EF4-FFF2-40B4-BE49-F238E27FC236}">
              <a16:creationId xmlns:a16="http://schemas.microsoft.com/office/drawing/2014/main" id="{0E006B5F-37C0-48A1-85F1-A459248738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0" y="990600"/>
          <a:ext cx="581025" cy="581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581025</xdr:colOff>
      <xdr:row>4</xdr:row>
      <xdr:rowOff>9525</xdr:rowOff>
    </xdr:to>
    <xdr:pic>
      <xdr:nvPicPr>
        <xdr:cNvPr id="3" name="Picture 2" descr="House with solid fill">
          <a:hlinkClick xmlns:r="http://schemas.openxmlformats.org/officeDocument/2006/relationships" r:id="rId1"/>
          <a:extLst>
            <a:ext uri="{FF2B5EF4-FFF2-40B4-BE49-F238E27FC236}">
              <a16:creationId xmlns:a16="http://schemas.microsoft.com/office/drawing/2014/main" id="{F2F6AD46-04C5-4680-91E7-DCA7FBC2E0F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a:stretch/>
      </xdr:blipFill>
      <xdr:spPr>
        <a:xfrm>
          <a:off x="392206" y="190500"/>
          <a:ext cx="581025"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h/Documents/Dropbox/Nassington%20PC/Accounts%20&amp;%20Audit/2015_16/15%20NPC%20Accs%202015_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h/Documents/Dropbox/Nassington%20PC/Accounts%20&amp;%20Audit/2012_13/12_Nass_Accs12_13_NPC.xl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rah/Dropbox/Warmington%20PC/Accounts%20and%20Budgets/Accounts%202017-2018/17-18%20WPC%20accoun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arah/Dropbox/Warmington%20PC/Accounts%20and%20Budgets/Accounts%202018-2019/18-19%20WPC%20accou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Sarah/My%20Documents/Dropbox/D&amp;DT/Accounts%20&amp;%20Audit/11%20DDPC%20Accs_11_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arah/Documents/Dropbox/Warmington%20PC/Accounts%20and%20Budgets/Accounts%202016-2017/WPC%2016_17%20budget%20analysis%20and%20data%20comparis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arah/Dropbox/Nassington%20PC/Agenda%20&amp;%20Minutes/Background%20papers/21.09%20Copy%20of%20NPC%20Accounts%202021_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rah/Dropbox/Nassington%20PC/Accounts%20&amp;%20Audit/2020_21/NPC%20Accounts%202020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 budget"/>
      <sheetName val="Budget Analysis"/>
      <sheetName val="Receipts"/>
      <sheetName val="Payments"/>
      <sheetName val="Balances"/>
      <sheetName val="Audit reconciliation"/>
      <sheetName val="Asset Register"/>
      <sheetName val="Audit Bank rec"/>
      <sheetName val="Variances"/>
      <sheetName val="VAT"/>
      <sheetName val="Cash flow"/>
      <sheetName val="Budget Analysis (2)"/>
      <sheetName val="_budget"/>
      <sheetName val="Budget_Analysis"/>
      <sheetName val="Audit_reconciliation"/>
      <sheetName val="Asset_Register"/>
      <sheetName val="Audit_Bank_rec"/>
      <sheetName val="Cash_flow"/>
      <sheetName val="Budget_Analysis_(2)"/>
    </sheetNames>
    <sheetDataSet>
      <sheetData sheetId="0"/>
      <sheetData sheetId="1">
        <row r="14">
          <cell r="C14" t="str">
            <v xml:space="preserve">Salary </v>
          </cell>
        </row>
        <row r="15">
          <cell r="C15" t="str">
            <v>Clerks expenses</v>
          </cell>
        </row>
        <row r="16">
          <cell r="C16" t="str">
            <v>Office expenses</v>
          </cell>
        </row>
        <row r="17">
          <cell r="C17" t="str">
            <v>Training budget</v>
          </cell>
        </row>
        <row r="18">
          <cell r="C18" t="str">
            <v xml:space="preserve">Twinning. newsletter. </v>
          </cell>
        </row>
        <row r="19">
          <cell r="C19" t="str">
            <v>Street Lighting</v>
          </cell>
        </row>
        <row r="20">
          <cell r="C20" t="str">
            <v xml:space="preserve">Playing Field </v>
          </cell>
        </row>
        <row r="21">
          <cell r="C21" t="str">
            <v>Sports Association</v>
          </cell>
        </row>
        <row r="22">
          <cell r="C22" t="str">
            <v>Footpaths / Environment / grasscutting</v>
          </cell>
        </row>
        <row r="23">
          <cell r="C23" t="str">
            <v>Burial Board</v>
          </cell>
        </row>
        <row r="24">
          <cell r="C24" t="str">
            <v>Insurance</v>
          </cell>
        </row>
        <row r="25">
          <cell r="C25" t="str">
            <v>NALC. Acre,Competitions</v>
          </cell>
        </row>
        <row r="26">
          <cell r="C26" t="str">
            <v>Village Hall Hire</v>
          </cell>
        </row>
        <row r="27">
          <cell r="C27" t="str">
            <v>Audit</v>
          </cell>
        </row>
        <row r="28">
          <cell r="C28" t="str">
            <v>Allotment Expenditure</v>
          </cell>
        </row>
        <row r="29">
          <cell r="C29" t="str">
            <v>Election Expenses</v>
          </cell>
        </row>
        <row r="30">
          <cell r="C30" t="str">
            <v>churchyard</v>
          </cell>
        </row>
        <row r="31">
          <cell r="C31" t="str">
            <v>Contingency (building reserves)</v>
          </cell>
        </row>
        <row r="32">
          <cell r="C32" t="str">
            <v>NHW</v>
          </cell>
        </row>
        <row r="38">
          <cell r="C38" t="str">
            <v>Capital reserve</v>
          </cell>
        </row>
        <row r="39">
          <cell r="C39" t="str">
            <v>Youth project</v>
          </cell>
        </row>
        <row r="40">
          <cell r="C40" t="str">
            <v>Churchyard / Wall</v>
          </cell>
        </row>
        <row r="41">
          <cell r="C41" t="str">
            <v>Misc  / grants</v>
          </cell>
        </row>
      </sheetData>
      <sheetData sheetId="2">
        <row r="16">
          <cell r="F16">
            <v>7267.84</v>
          </cell>
        </row>
      </sheetData>
      <sheetData sheetId="3">
        <row r="59">
          <cell r="K59">
            <v>0</v>
          </cell>
        </row>
      </sheetData>
      <sheetData sheetId="4">
        <row r="3">
          <cell r="R3" t="str">
            <v xml:space="preserve">Salary </v>
          </cell>
        </row>
        <row r="4">
          <cell r="R4" t="str">
            <v>Clerks expenses</v>
          </cell>
        </row>
        <row r="5">
          <cell r="R5" t="str">
            <v>Office expenses</v>
          </cell>
        </row>
        <row r="6">
          <cell r="R6" t="str">
            <v>Training budget</v>
          </cell>
        </row>
        <row r="7">
          <cell r="R7" t="str">
            <v xml:space="preserve">Twinning. newsletter. </v>
          </cell>
        </row>
        <row r="8">
          <cell r="R8" t="str">
            <v>Street Lighting</v>
          </cell>
        </row>
        <row r="9">
          <cell r="R9" t="str">
            <v xml:space="preserve">Playing Field </v>
          </cell>
        </row>
        <row r="10">
          <cell r="R10" t="str">
            <v>Sports Association</v>
          </cell>
        </row>
        <row r="11">
          <cell r="R11" t="str">
            <v>Footpaths / Environment / grasscutting</v>
          </cell>
        </row>
        <row r="12">
          <cell r="R12" t="str">
            <v>Burial Board</v>
          </cell>
        </row>
        <row r="13">
          <cell r="R13" t="str">
            <v>Insurance</v>
          </cell>
        </row>
        <row r="14">
          <cell r="R14" t="str">
            <v>Insurance</v>
          </cell>
        </row>
        <row r="15">
          <cell r="R15" t="str">
            <v>NALC. Acre,Competitions</v>
          </cell>
        </row>
        <row r="16">
          <cell r="R16" t="str">
            <v>Village Hall Hire</v>
          </cell>
        </row>
        <row r="17">
          <cell r="R17" t="str">
            <v>Audit</v>
          </cell>
        </row>
        <row r="18">
          <cell r="R18" t="str">
            <v>Allotment Expenditure</v>
          </cell>
        </row>
        <row r="19">
          <cell r="R19" t="str">
            <v>Election Expenses</v>
          </cell>
        </row>
        <row r="20">
          <cell r="R20" t="str">
            <v>churchyard</v>
          </cell>
        </row>
        <row r="21">
          <cell r="R21" t="str">
            <v>Contingency</v>
          </cell>
        </row>
        <row r="22">
          <cell r="R22" t="str">
            <v>NHW</v>
          </cell>
        </row>
        <row r="23">
          <cell r="R23" t="str">
            <v>Youth project (Underground)</v>
          </cell>
        </row>
        <row r="24">
          <cell r="R24" t="str">
            <v>Contingency (building reserves)</v>
          </cell>
        </row>
        <row r="25">
          <cell r="R25" t="str">
            <v xml:space="preserve">Defibrillator </v>
          </cell>
        </row>
        <row r="26">
          <cell r="R26" t="str">
            <v>WWI Plaque</v>
          </cell>
        </row>
        <row r="27">
          <cell r="R27" t="str">
            <v>Churchyard Wall</v>
          </cell>
        </row>
        <row r="28">
          <cell r="R28" t="str">
            <v>Elections</v>
          </cell>
        </row>
        <row r="29">
          <cell r="R29" t="str">
            <v>Youth project</v>
          </cell>
        </row>
        <row r="30">
          <cell r="R30" t="str">
            <v>Churchyard Wall</v>
          </cell>
        </row>
        <row r="31">
          <cell r="R31" t="str">
            <v>Play area</v>
          </cell>
        </row>
        <row r="32">
          <cell r="R32" t="str">
            <v xml:space="preserve">Hangout area </v>
          </cell>
        </row>
        <row r="33">
          <cell r="R33" t="str">
            <v>General Reserve</v>
          </cell>
        </row>
        <row r="34">
          <cell r="R34">
            <v>0</v>
          </cell>
        </row>
        <row r="35">
          <cell r="R35" t="str">
            <v>Allotment  reserve</v>
          </cell>
        </row>
      </sheetData>
      <sheetData sheetId="5"/>
      <sheetData sheetId="6">
        <row r="5">
          <cell r="H5">
            <v>21912</v>
          </cell>
        </row>
      </sheetData>
      <sheetData sheetId="7"/>
      <sheetData sheetId="8"/>
      <sheetData sheetId="9"/>
      <sheetData sheetId="10"/>
      <sheetData sheetId="11"/>
      <sheetData sheetId="12"/>
      <sheetData sheetId="13">
        <row r="14">
          <cell r="C14" t="str">
            <v xml:space="preserve">Salary </v>
          </cell>
        </row>
      </sheetData>
      <sheetData sheetId="14">
        <row r="16">
          <cell r="F16">
            <v>7267.84</v>
          </cell>
        </row>
      </sheetData>
      <sheetData sheetId="15">
        <row r="5">
          <cell r="H5">
            <v>21912</v>
          </cell>
        </row>
      </sheetData>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 budget"/>
      <sheetName val="Budget Analysis"/>
      <sheetName val="Receipts"/>
      <sheetName val="Payments"/>
      <sheetName val="Balances"/>
      <sheetName val="Cash flow"/>
      <sheetName val="Audit reconciliation"/>
      <sheetName val="Asset Register"/>
      <sheetName val="Audit Bank rec"/>
      <sheetName val="Variances"/>
      <sheetName val="VAT"/>
    </sheetNames>
    <sheetDataSet>
      <sheetData sheetId="0"/>
      <sheetData sheetId="1">
        <row r="13">
          <cell r="C13" t="str">
            <v xml:space="preserve">Salary </v>
          </cell>
        </row>
        <row r="14">
          <cell r="C14" t="str">
            <v>Clerks expenses</v>
          </cell>
        </row>
        <row r="15">
          <cell r="C15" t="str">
            <v>Office expenses</v>
          </cell>
        </row>
        <row r="16">
          <cell r="C16" t="str">
            <v>Chair's allowance</v>
          </cell>
        </row>
        <row r="17">
          <cell r="C17" t="str">
            <v>Training budget</v>
          </cell>
        </row>
        <row r="18">
          <cell r="C18" t="str">
            <v xml:space="preserve">Twinning. newsletter. </v>
          </cell>
        </row>
        <row r="19">
          <cell r="C19" t="str">
            <v>Street Lighting</v>
          </cell>
        </row>
        <row r="20">
          <cell r="C20" t="str">
            <v>Playing Field / Sports Ass  Footpaths / Environment</v>
          </cell>
        </row>
        <row r="22">
          <cell r="C22" t="str">
            <v>Burial Board</v>
          </cell>
        </row>
        <row r="23">
          <cell r="C23" t="str">
            <v>Insurance</v>
          </cell>
        </row>
        <row r="24">
          <cell r="C24" t="str">
            <v>NALC. Acre,Competitions</v>
          </cell>
        </row>
        <row r="25">
          <cell r="C25" t="str">
            <v>Village Hall Hire</v>
          </cell>
        </row>
        <row r="26">
          <cell r="C26" t="str">
            <v>Audit</v>
          </cell>
        </row>
        <row r="27">
          <cell r="C27" t="str">
            <v>Allotment Expenditure</v>
          </cell>
        </row>
        <row r="28">
          <cell r="C28" t="str">
            <v>Election Expenses</v>
          </cell>
        </row>
        <row r="29">
          <cell r="C29" t="str">
            <v>churchyard</v>
          </cell>
        </row>
        <row r="30">
          <cell r="C30" t="str">
            <v>Contingency</v>
          </cell>
        </row>
        <row r="31">
          <cell r="C31" t="str">
            <v>Jubilee</v>
          </cell>
        </row>
        <row r="32">
          <cell r="C32" t="str">
            <v>Contingency (building reserves)</v>
          </cell>
        </row>
        <row r="34">
          <cell r="C34" t="str">
            <v>Community complex</v>
          </cell>
        </row>
        <row r="35">
          <cell r="C35" t="str">
            <v>Youth project</v>
          </cell>
        </row>
        <row r="36">
          <cell r="C36" t="str">
            <v>Churchyard Wall</v>
          </cell>
        </row>
        <row r="37">
          <cell r="C37" t="str">
            <v>Jubilee</v>
          </cell>
        </row>
        <row r="38">
          <cell r="C38" t="str">
            <v>Misc  / grants</v>
          </cell>
        </row>
      </sheetData>
      <sheetData sheetId="2">
        <row r="7">
          <cell r="D7">
            <v>375</v>
          </cell>
        </row>
      </sheetData>
      <sheetData sheetId="3"/>
      <sheetData sheetId="4">
        <row r="3">
          <cell r="R3" t="str">
            <v xml:space="preserve">Salary </v>
          </cell>
        </row>
        <row r="4">
          <cell r="R4" t="str">
            <v>Clerks expenses</v>
          </cell>
        </row>
        <row r="5">
          <cell r="R5" t="str">
            <v>Office expenses</v>
          </cell>
        </row>
        <row r="6">
          <cell r="R6" t="str">
            <v>Chair's allowance</v>
          </cell>
        </row>
        <row r="7">
          <cell r="R7" t="str">
            <v>Chair's allowance</v>
          </cell>
        </row>
        <row r="8">
          <cell r="R8" t="str">
            <v>Training budget</v>
          </cell>
        </row>
        <row r="9">
          <cell r="R9" t="str">
            <v xml:space="preserve">Twinning. newsletter. </v>
          </cell>
        </row>
        <row r="10">
          <cell r="R10" t="str">
            <v>Street Lighting</v>
          </cell>
        </row>
        <row r="11">
          <cell r="R11" t="str">
            <v>Playing Field / Sports Ass  Footpaths / Environment</v>
          </cell>
        </row>
        <row r="12">
          <cell r="R12" t="str">
            <v>Burial Board</v>
          </cell>
        </row>
        <row r="13">
          <cell r="R13" t="str">
            <v>Insurance</v>
          </cell>
        </row>
        <row r="14">
          <cell r="R14" t="str">
            <v>NALC. Acre,Competitions</v>
          </cell>
        </row>
        <row r="15">
          <cell r="R15" t="str">
            <v>Village Hall Hire</v>
          </cell>
        </row>
        <row r="16">
          <cell r="R16" t="str">
            <v>Audit</v>
          </cell>
        </row>
        <row r="17">
          <cell r="R17" t="str">
            <v>Allotment Expenditure</v>
          </cell>
        </row>
        <row r="18">
          <cell r="R18" t="str">
            <v>Election Expenses</v>
          </cell>
        </row>
        <row r="19">
          <cell r="R19" t="str">
            <v>churchyard</v>
          </cell>
        </row>
        <row r="20">
          <cell r="R20" t="str">
            <v>Contingency</v>
          </cell>
        </row>
        <row r="21">
          <cell r="R21" t="str">
            <v>Jubilee</v>
          </cell>
        </row>
        <row r="22">
          <cell r="R22" t="str">
            <v>Contingency (building reserves)</v>
          </cell>
        </row>
        <row r="23">
          <cell r="R23" t="str">
            <v>Community complex</v>
          </cell>
        </row>
        <row r="24">
          <cell r="R24" t="str">
            <v>Youth project</v>
          </cell>
        </row>
        <row r="25">
          <cell r="R25" t="str">
            <v>Churchyard Wall</v>
          </cell>
        </row>
        <row r="26">
          <cell r="R26" t="str">
            <v>Jubilee res</v>
          </cell>
        </row>
        <row r="27">
          <cell r="R27" t="str">
            <v>Misc  / grants</v>
          </cell>
        </row>
      </sheetData>
      <sheetData sheetId="5">
        <row r="19">
          <cell r="C19">
            <v>31575.66</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 budget"/>
      <sheetName val=" Budget analysis 2017_18"/>
      <sheetName val="Receipts"/>
      <sheetName val="Payments"/>
      <sheetName val="Payt - Cabin"/>
      <sheetName val="Fireworks"/>
      <sheetName val="Balances"/>
      <sheetName val="Audit reconciliation"/>
      <sheetName val="NDP Exp"/>
      <sheetName val="Cabin"/>
      <sheetName val="Analyisis"/>
      <sheetName val="NEST"/>
      <sheetName val="Warren"/>
      <sheetName val="Bk Trans"/>
      <sheetName val="Sheet20"/>
      <sheetName val="Sheet2"/>
      <sheetName val="Payments2"/>
      <sheetName val="PockIt-Petty Cash"/>
      <sheetName val="S106OpenSpace"/>
      <sheetName val="Hautboy Lane Project"/>
      <sheetName val="Audit Bank rec"/>
      <sheetName val="Pocket Park"/>
      <sheetName val="Fun Field"/>
      <sheetName val="Allotments"/>
      <sheetName val="Play area"/>
      <sheetName val="Variances"/>
      <sheetName val="Assets"/>
      <sheetName val="VAT"/>
      <sheetName val="VAT (2)"/>
      <sheetName val="Fixed Asset Register"/>
      <sheetName val="Supporting Statement"/>
      <sheetName val="Income &amp; Expenditure"/>
      <sheetName val="Flood project"/>
      <sheetName val="QEII90"/>
    </sheetNames>
    <sheetDataSet>
      <sheetData sheetId="0" refreshError="1"/>
      <sheetData sheetId="1" refreshError="1"/>
      <sheetData sheetId="2" refreshError="1"/>
      <sheetData sheetId="3" refreshError="1"/>
      <sheetData sheetId="4">
        <row r="3">
          <cell r="L3">
            <v>-86.65</v>
          </cell>
        </row>
        <row r="4">
          <cell r="O4" t="str">
            <v>Pension</v>
          </cell>
        </row>
        <row r="5">
          <cell r="O5" t="str">
            <v>Insurance</v>
          </cell>
        </row>
        <row r="6">
          <cell r="O6" t="str">
            <v>Clerks Expenses</v>
          </cell>
        </row>
        <row r="7">
          <cell r="O7" t="str">
            <v>Office expenses / stationery / books</v>
          </cell>
        </row>
        <row r="8">
          <cell r="O8" t="str">
            <v>Audit</v>
          </cell>
        </row>
        <row r="9">
          <cell r="O9" t="str">
            <v>Meeting Room Hire</v>
          </cell>
        </row>
        <row r="10">
          <cell r="O10" t="str">
            <v>Chair's allowance</v>
          </cell>
        </row>
        <row r="11">
          <cell r="O11" t="str">
            <v>Training budget / courses</v>
          </cell>
        </row>
        <row r="12">
          <cell r="O12" t="str">
            <v>NCALC</v>
          </cell>
        </row>
        <row r="13">
          <cell r="O13" t="str">
            <v>Members mileage allowance</v>
          </cell>
        </row>
        <row r="14">
          <cell r="O14" t="str">
            <v>SLCC</v>
          </cell>
        </row>
        <row r="15">
          <cell r="O15" t="str">
            <v>Section 137 payments</v>
          </cell>
        </row>
        <row r="16">
          <cell r="O16" t="str">
            <v>Election Expenses</v>
          </cell>
        </row>
        <row r="17">
          <cell r="O17" t="str">
            <v>Street Lighting</v>
          </cell>
        </row>
        <row r="18">
          <cell r="O18" t="str">
            <v>Grasscutting</v>
          </cell>
        </row>
        <row r="19">
          <cell r="O19" t="str">
            <v>Fun field grasscutting</v>
          </cell>
        </row>
        <row r="20">
          <cell r="O20" t="str">
            <v>Landscaping / environment</v>
          </cell>
        </row>
        <row r="21">
          <cell r="O21" t="str">
            <v>Repairs</v>
          </cell>
        </row>
        <row r="22">
          <cell r="O22" t="str">
            <v>Churchyard path</v>
          </cell>
        </row>
        <row r="23">
          <cell r="O23" t="str">
            <v>Churchyard / cemetery trees</v>
          </cell>
        </row>
        <row r="24">
          <cell r="O24" t="str">
            <v xml:space="preserve">Churchyard </v>
          </cell>
        </row>
        <row r="25">
          <cell r="O25" t="str">
            <v xml:space="preserve">Cemetery </v>
          </cell>
        </row>
        <row r="26">
          <cell r="O26" t="str">
            <v>Cemetery rates</v>
          </cell>
        </row>
        <row r="27">
          <cell r="O27" t="str">
            <v>Rose bed</v>
          </cell>
        </row>
        <row r="28">
          <cell r="O28" t="str">
            <v>QEII90/WWI</v>
          </cell>
        </row>
        <row r="29">
          <cell r="O29" t="str">
            <v>Play area inspection</v>
          </cell>
        </row>
        <row r="30">
          <cell r="O30" t="str">
            <v>Litter pick / refuse arrangements</v>
          </cell>
        </row>
        <row r="31">
          <cell r="O31" t="str">
            <v>Misc  / grants</v>
          </cell>
        </row>
        <row r="32">
          <cell r="O32" t="str">
            <v>Young people</v>
          </cell>
        </row>
        <row r="33">
          <cell r="O33" t="str">
            <v>Senior residents</v>
          </cell>
        </row>
        <row r="34">
          <cell r="O34" t="str">
            <v>Pocket Parks</v>
          </cell>
        </row>
        <row r="35">
          <cell r="O35" t="str">
            <v>Play Area Repairs</v>
          </cell>
        </row>
        <row r="36">
          <cell r="O36" t="str">
            <v>NDP Project</v>
          </cell>
        </row>
        <row r="37">
          <cell r="O37" t="str">
            <v>Governance</v>
          </cell>
        </row>
        <row r="38">
          <cell r="O38" t="str">
            <v>Allotments</v>
          </cell>
        </row>
        <row r="39">
          <cell r="O39" t="str">
            <v>Fun Field</v>
          </cell>
        </row>
        <row r="40">
          <cell r="O40" t="str">
            <v xml:space="preserve">Play area </v>
          </cell>
        </row>
        <row r="41">
          <cell r="O41" t="str">
            <v>Arborio contingency</v>
          </cell>
        </row>
        <row r="42">
          <cell r="O42" t="str">
            <v>Hautboy Lane Footpath</v>
          </cell>
        </row>
        <row r="43">
          <cell r="O43" t="str">
            <v>Flood project</v>
          </cell>
        </row>
        <row r="44">
          <cell r="O44" t="str">
            <v>Hautboy Lane Footpath</v>
          </cell>
        </row>
        <row r="45">
          <cell r="O45" t="str">
            <v>Street Lighting res</v>
          </cell>
        </row>
        <row r="46">
          <cell r="O46" t="str">
            <v>Churchyard wall forward contingency</v>
          </cell>
        </row>
        <row r="47">
          <cell r="O47" t="str">
            <v>S106 (fun field improvements)</v>
          </cell>
        </row>
        <row r="48">
          <cell r="O48" t="str">
            <v>Reserve c/fwd (fun field improvements)</v>
          </cell>
        </row>
        <row r="49">
          <cell r="O49" t="str">
            <v>General reserve</v>
          </cell>
        </row>
        <row r="50">
          <cell r="O50" t="str">
            <v>Contra to horticultural society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 Budget analysis 2018_19"/>
      <sheetName val="Receipts"/>
      <sheetName val="Payments"/>
      <sheetName val="Balances"/>
      <sheetName val="Audit Bank rec"/>
      <sheetName val="Audit reconciliation"/>
      <sheetName val="Variances"/>
      <sheetName val="Asset Reg"/>
      <sheetName val="Re'c"/>
      <sheetName val="AWA_Grants"/>
      <sheetName val="Sheet2"/>
      <sheetName val="Payt"/>
      <sheetName val="Payt anal"/>
      <sheetName val="PaytAnalysis"/>
      <sheetName val="Receipt"/>
      <sheetName val="Sheet3"/>
      <sheetName val="Payments (2)"/>
      <sheetName val="Sheet4"/>
      <sheetName val="Sheet5"/>
      <sheetName val=" Budget analysis 2018_19 (3)"/>
      <sheetName val=" Budget analysis 2018_19 (2)"/>
      <sheetName val="Assets"/>
      <sheetName val="VAT"/>
      <sheetName val="VAT (2)"/>
      <sheetName val="Sheet1"/>
      <sheetName val="PockIt-Petty Cash "/>
      <sheetName val="Fixed Asset Register"/>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
      <sheetName val="Budget control"/>
      <sheetName val="Receipts &amp; Payments"/>
      <sheetName val="Balances"/>
      <sheetName val="Audit summary"/>
      <sheetName val="Audit Bank rec"/>
      <sheetName val="Expense Statement"/>
      <sheetName val="Mileage Log"/>
      <sheetName val="hours"/>
      <sheetName val="Postage"/>
      <sheetName val="Asset Register"/>
      <sheetName val="Variances"/>
      <sheetName val="Budget"/>
      <sheetName val="Budget proposal"/>
      <sheetName val="Cash flow"/>
      <sheetName val="Audit reconciliation"/>
      <sheetName val="Bank rec."/>
      <sheetName val="Budget_"/>
      <sheetName val="Budget_control"/>
      <sheetName val="Receipts_&amp;_Payments"/>
      <sheetName val="Audit_summary"/>
      <sheetName val="Audit_Bank_rec"/>
      <sheetName val="Expense_Statement"/>
      <sheetName val="Mileage_Log"/>
      <sheetName val="Asset_Register"/>
      <sheetName val="Budget_proposal"/>
      <sheetName val="Cash_flow"/>
      <sheetName val="Audit_reconciliation"/>
      <sheetName val="Bank_rec_"/>
    </sheetNames>
    <sheetDataSet>
      <sheetData sheetId="0"/>
      <sheetData sheetId="1"/>
      <sheetData sheetId="2">
        <row r="4">
          <cell r="B4" t="str">
            <v>Salary</v>
          </cell>
        </row>
        <row r="5">
          <cell r="B5" t="str">
            <v>Village hall hire</v>
          </cell>
        </row>
        <row r="6">
          <cell r="B6" t="str">
            <v>Charitable donations / Contingency</v>
          </cell>
        </row>
        <row r="7">
          <cell r="B7" t="str">
            <v>NALC / Subscriptions / Misc stationery / exps</v>
          </cell>
        </row>
        <row r="8">
          <cell r="B8" t="str">
            <v>Landscaping</v>
          </cell>
        </row>
        <row r="9">
          <cell r="B9" t="str">
            <v>Audit</v>
          </cell>
        </row>
        <row r="10">
          <cell r="B10" t="str">
            <v>Insurance</v>
          </cell>
        </row>
        <row r="11">
          <cell r="B11" t="str">
            <v>election</v>
          </cell>
        </row>
        <row r="12">
          <cell r="B12" t="str">
            <v>Jubilee</v>
          </cell>
        </row>
        <row r="13">
          <cell r="B13" t="str">
            <v>Grass cutting</v>
          </cell>
        </row>
      </sheetData>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sheetData sheetId="19">
        <row r="4">
          <cell r="B4" t="str">
            <v>Salary</v>
          </cell>
        </row>
      </sheetData>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udget analysis 2015_16"/>
      <sheetName val="VARIATIONS"/>
      <sheetName val="PAST YEARS"/>
      <sheetName val="INCREASE TABLE"/>
      <sheetName val="_Budget_analysis_2015_16"/>
      <sheetName val="PAST_YEARS"/>
      <sheetName val="INCREASE_TABLE"/>
    </sheetNames>
    <sheetDataSet>
      <sheetData sheetId="0"/>
      <sheetData sheetId="1">
        <row r="17">
          <cell r="C17">
            <v>2.9958650000000491</v>
          </cell>
        </row>
      </sheetData>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Analysis"/>
      <sheetName val="Sheet3"/>
      <sheetName val="Receipts"/>
      <sheetName val="Payments"/>
      <sheetName val="Balances"/>
      <sheetName val="Audit Bank rec"/>
      <sheetName val="PockIt-Petty Cash "/>
      <sheetName val="Audit reconciliation"/>
      <sheetName val="Budget Analysis (2)"/>
      <sheetName val="Variances "/>
      <sheetName val="Asset Register"/>
      <sheetName val="Payments (2)"/>
      <sheetName val="Grant"/>
      <sheetName val="LGSS Invoices"/>
      <sheetName val="Payt Meths"/>
      <sheetName val="Payments (3)"/>
      <sheetName val="PiTP"/>
      <sheetName val="CollectionDonation"/>
      <sheetName val="Sheet2"/>
      <sheetName val="VAT"/>
      <sheetName val="Cash flow"/>
    </sheetNames>
    <sheetDataSet>
      <sheetData sheetId="0"/>
      <sheetData sheetId="1"/>
      <sheetData sheetId="2"/>
      <sheetData sheetId="3"/>
      <sheetData sheetId="4"/>
      <sheetData sheetId="5">
        <row r="6">
          <cell r="F6">
            <v>2280.29</v>
          </cell>
        </row>
        <row r="8">
          <cell r="F8">
            <v>177.14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Analysis"/>
      <sheetName val="Sheet3"/>
      <sheetName val="Receipts"/>
      <sheetName val="Payments"/>
      <sheetName val="Balances"/>
      <sheetName val="Audit Bank rec"/>
      <sheetName val="PockIt-Petty Cash "/>
      <sheetName val="Audit reconciliation"/>
      <sheetName val="Budget Analysis (2)"/>
      <sheetName val="Variances"/>
      <sheetName val="Asset Register"/>
      <sheetName val="Payments (2)"/>
      <sheetName val="Grant"/>
      <sheetName val="LGSS Invoices"/>
      <sheetName val="Payt Meths"/>
      <sheetName val="Payments (3)"/>
      <sheetName val="PiTP"/>
      <sheetName val="CollectionDonation"/>
      <sheetName val="Sheet2"/>
      <sheetName val="VAT"/>
      <sheetName val="Cash flow"/>
      <sheetName val="Payments (4)"/>
    </sheetNames>
    <sheetDataSet>
      <sheetData sheetId="0"/>
      <sheetData sheetId="1">
        <row r="19">
          <cell r="G19">
            <v>9376.0400000000009</v>
          </cell>
        </row>
      </sheetData>
      <sheetData sheetId="2"/>
      <sheetData sheetId="3">
        <row r="59">
          <cell r="E59">
            <v>49755</v>
          </cell>
          <cell r="H59">
            <v>0</v>
          </cell>
        </row>
      </sheetData>
      <sheetData sheetId="4"/>
      <sheetData sheetId="5"/>
      <sheetData sheetId="6"/>
      <sheetData sheetId="7"/>
      <sheetData sheetId="8">
        <row r="11">
          <cell r="G11">
            <v>86304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persons/person.xml><?xml version="1.0" encoding="utf-8"?>
<personList xmlns="http://schemas.microsoft.com/office/spreadsheetml/2018/threadedcomments" xmlns:x="http://schemas.openxmlformats.org/spreadsheetml/2006/main">
  <person displayName="Sarah Rodger" id="{79FAF366-FFB0-419A-9E78-360F67903080}" userId="Sarah Rodg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42" dT="2021-01-12T22:56:36.98" personId="{79FAF366-FFB0-419A-9E78-360F67903080}" id="{9C532890-06F5-4BAA-9644-F5D28632DDDA}">
    <text>Grass footpath</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dropbox.com/s/os69h17fp06r235/21.07%20TSOhost%20ISP%20Invoice-6450822.pdf?dl=0" TargetMode="External"/><Relationship Id="rId18" Type="http://schemas.openxmlformats.org/officeDocument/2006/relationships/hyperlink" Target="https://www.dropbox.com/s/94losjc9lu0k9np/21.04%20SSE.pdf?dl=0" TargetMode="External"/><Relationship Id="rId26" Type="http://schemas.openxmlformats.org/officeDocument/2006/relationships/hyperlink" Target="https://www.dropbox.com/s/mabc4et44vwahwg/21.10%20YourLocale%20NDPi.pdf?dl=0" TargetMode="External"/><Relationship Id="rId39" Type="http://schemas.openxmlformats.org/officeDocument/2006/relationships/hyperlink" Target="https://www.dropbox.com/s/gnhqelj36f3vbio/21.12%20Yourlocale%20invoice%204%20RED.pdf?dl=0" TargetMode="External"/><Relationship Id="rId21" Type="http://schemas.openxmlformats.org/officeDocument/2006/relationships/hyperlink" Target="https://www.dropbox.com/s/ee63erdmvge6ff3/21.06%20Royal%20Mail%20REDACTED%20Postage%20Confirmation%20for%20WP-9435-7377-801.pdf?dl=0" TargetMode="External"/><Relationship Id="rId34" Type="http://schemas.openxmlformats.org/officeDocument/2006/relationships/hyperlink" Target="https://www.dropbox.com/s/02cmi16e4885n9v/21.06%20Plough%20May%20works%20invoice%202618.pdf?dl=0" TargetMode="External"/><Relationship Id="rId42" Type="http://schemas.openxmlformats.org/officeDocument/2006/relationships/hyperlink" Target="https://www.dropbox.com/s/j0atm169f18bmvp/22.01%20pestforce%20invoice%201185a%20nassington%20pc%2020-21.pdf?dl=0" TargetMode="External"/><Relationship Id="rId47" Type="http://schemas.openxmlformats.org/officeDocument/2006/relationships/hyperlink" Target="https://www.dropbox.com/s/shsxfkl6wvqrb35/22.01%20Anglian%20Water%209868632.pdf?dl=0" TargetMode="External"/><Relationship Id="rId50" Type="http://schemas.openxmlformats.org/officeDocument/2006/relationships/hyperlink" Target="https://www.dropbox.com/s/3hj7ig9glogaix5/22.02%202020%20and%202021%20office%20costs%20and%20expenses.xlsx?dl=0" TargetMode="External"/><Relationship Id="rId55" Type="http://schemas.openxmlformats.org/officeDocument/2006/relationships/hyperlink" Target="https://www.dropbox.com/s/vhrk4g9gxpzm9q4/22.03%20AmazonBusinessInvoiceINV-GB-918570555-2022-3319%20jubilee%20balloons.pdf?dl=0" TargetMode="External"/><Relationship Id="rId7" Type="http://schemas.openxmlformats.org/officeDocument/2006/relationships/hyperlink" Target="https://www.dropbox.com/s/hqhrexc77yhv8ni/21.04%20NCALC%20Invoice%20INV-1215.pdf?dl=0" TargetMode="External"/><Relationship Id="rId12" Type="http://schemas.openxmlformats.org/officeDocument/2006/relationships/hyperlink" Target="https://www.dropbox.com/s/02cmi16e4885n9v/21.06%20Plough%20May%20works%20invoice%202618.pdf?dl=0" TargetMode="External"/><Relationship Id="rId17" Type="http://schemas.openxmlformats.org/officeDocument/2006/relationships/hyperlink" Target="https://www.dropbox.com/s/st2ss3e4b5683l5/21.07%20SSE.pdf?dl=0" TargetMode="External"/><Relationship Id="rId25" Type="http://schemas.openxmlformats.org/officeDocument/2006/relationships/hyperlink" Target="https://www.dropbox.com/s/1ow8w7nmk2w24no/21.10%20PKF%20Littlejohn%20auditRED.pdf?dl=0" TargetMode="External"/><Relationship Id="rId33" Type="http://schemas.openxmlformats.org/officeDocument/2006/relationships/hyperlink" Target="https://www.dropbox.com/home/Nassington%20PC/Accounts%20%26%20Audit/2021_22/Invoices/December?preview=21.12+SSE.pdf" TargetMode="External"/><Relationship Id="rId38" Type="http://schemas.openxmlformats.org/officeDocument/2006/relationships/hyperlink" Target="https://www.dropbox.com/s/j3c0871wokau2lr/21.12%20NCALC%20training%20RED.pdf?dl=0" TargetMode="External"/><Relationship Id="rId46" Type="http://schemas.openxmlformats.org/officeDocument/2006/relationships/hyperlink" Target="https://www.dropbox.com/s/um7hmv0w68xm7zf/22.01%20SSE%20Dec%20consuption.pdf?dl=0" TargetMode="External"/><Relationship Id="rId59" Type="http://schemas.openxmlformats.org/officeDocument/2006/relationships/drawing" Target="../drawings/drawing4.xml"/><Relationship Id="rId2" Type="http://schemas.openxmlformats.org/officeDocument/2006/relationships/hyperlink" Target="https://www.dropbox.com/sh/4w9vhhw3kdjyxkp/AACcIrNjuklOuIK7-Iude-uNa?dl=0" TargetMode="External"/><Relationship Id="rId16" Type="http://schemas.openxmlformats.org/officeDocument/2006/relationships/hyperlink" Target="https://www.dropbox.com/s/4h173qwsfcu1kyj/21.07%20Playsafety%20REDACTED%20RoSPA%20Invoice%2056275.pdf?dl=0" TargetMode="External"/><Relationship Id="rId20" Type="http://schemas.openxmlformats.org/officeDocument/2006/relationships/hyperlink" Target="https://www.dropbox.com/s/g3uetczimoatlat/21.04%20Royal%20Mail%20RED%20Postage%20Confirmation%20for%20WP-9383-2012-301.pdf?dl=0" TargetMode="External"/><Relationship Id="rId29" Type="http://schemas.openxmlformats.org/officeDocument/2006/relationships/hyperlink" Target="https://www.dropbox.com/s/k7ovix8q9b78kuw/21.10%20SSE%20Sept%20consumption.pdf?dl=0" TargetMode="External"/><Relationship Id="rId41" Type="http://schemas.openxmlformats.org/officeDocument/2006/relationships/hyperlink" Target="https://www.dropbox.com/s/zc16xfbk5z7g4j5/22.01%20Earth%20anchors%20bench%20inv%2035237.pdf?dl=0" TargetMode="External"/><Relationship Id="rId54" Type="http://schemas.openxmlformats.org/officeDocument/2006/relationships/hyperlink" Target="https://www.dropbox.com/s/qw9wo0zots0g6kx/21.10%20TsoHost%20%20SSL%20cert%20Invoice-6667474.pdf?dl=0" TargetMode="External"/><Relationship Id="rId1" Type="http://schemas.openxmlformats.org/officeDocument/2006/relationships/hyperlink" Target="https://www.dropbox.com/s/94losjc9lu0k9np/21.04%20SSE.pdf?dl=0" TargetMode="External"/><Relationship Id="rId6" Type="http://schemas.openxmlformats.org/officeDocument/2006/relationships/hyperlink" Target="https://www.dropbox.com/s/4fk6nqthntthzmx/21.05%20Plough%20Nassington%20Parish%20Council%20Apr%2021%20invoice%202607.pdf?dl=0" TargetMode="External"/><Relationship Id="rId11" Type="http://schemas.openxmlformats.org/officeDocument/2006/relationships/hyperlink" Target="https://www.dropbox.com/s/j660cg6fe1lgbz6/21.06%20SSE.pdf?dl=0" TargetMode="External"/><Relationship Id="rId24" Type="http://schemas.openxmlformats.org/officeDocument/2006/relationships/hyperlink" Target="https://www.dropbox.com/s/w55sotf5fh9vvxs/21.10%20RHAB%20Contractors.pdf?dl=0" TargetMode="External"/><Relationship Id="rId32" Type="http://schemas.openxmlformats.org/officeDocument/2006/relationships/hyperlink" Target="https://www.dropbox.com/s/0c9wttjjgrrsk3k/21.11%20Earth%20anchor%20picnic%20bench%20-%20red.pdf?dl=0" TargetMode="External"/><Relationship Id="rId37" Type="http://schemas.openxmlformats.org/officeDocument/2006/relationships/hyperlink" Target="https://www.dropbox.com/s/4fk6nqthntthzmx/21.05%20Plough%20Nassington%20Parish%20Council%20Apr%2021%20invoice%202607.pdf?dl=0" TargetMode="External"/><Relationship Id="rId40" Type="http://schemas.openxmlformats.org/officeDocument/2006/relationships/hyperlink" Target="https://www.dropbox.com/s/eoenz82f57mggov/21.12%20History%20group%20websiteRED.pdf?dl=0" TargetMode="External"/><Relationship Id="rId45" Type="http://schemas.openxmlformats.org/officeDocument/2006/relationships/hyperlink" Target="https://www.dropbox.com/s/jo7xrooc4n817kz/22.01%202021%20dog%20bin%20emptying.pdf?dl=0" TargetMode="External"/><Relationship Id="rId53" Type="http://schemas.openxmlformats.org/officeDocument/2006/relationships/hyperlink" Target="https://www.dropbox.com/s/fuaw7w8uew0uyjr/22.03%20AmazonBusinessInvoiceINV-GB-123337731-2022-49%20jubilee%20carpet.pdf?dl=0" TargetMode="External"/><Relationship Id="rId58" Type="http://schemas.openxmlformats.org/officeDocument/2006/relationships/printerSettings" Target="../printerSettings/printerSettings4.bin"/><Relationship Id="rId5" Type="http://schemas.openxmlformats.org/officeDocument/2006/relationships/hyperlink" Target="https://www.dropbox.com/s/4fk6nqthntthzmx/21.05%20Plough%20Nassington%20Parish%20Council%20Apr%2021%20invoice%202607.pdf?dl=0" TargetMode="External"/><Relationship Id="rId15" Type="http://schemas.openxmlformats.org/officeDocument/2006/relationships/hyperlink" Target="https://www.dropbox.com/s/st2ss3e4b5683l5/21.07%20SSE.pdf?dl=0" TargetMode="External"/><Relationship Id="rId23" Type="http://schemas.openxmlformats.org/officeDocument/2006/relationships/hyperlink" Target="https://www.dropbox.com/s/4obmyz3kivf6qtt/21.10%20Eon%202020%20invoices.pdf?dl=0" TargetMode="External"/><Relationship Id="rId28" Type="http://schemas.openxmlformats.org/officeDocument/2006/relationships/hyperlink" Target="https://www.dropbox.com/s/25m52t8yec3jsln/21.09%20AMT%20Footway%20inv%20306448%2018%2007%2021RED.pdf?dl=0" TargetMode="External"/><Relationship Id="rId36" Type="http://schemas.openxmlformats.org/officeDocument/2006/relationships/hyperlink" Target="https://www.dropbox.com/s/rirh1vyww6janeg/21.04%20Plough%20Mar%2021%20invoice%202595.pdf?dl=0" TargetMode="External"/><Relationship Id="rId49" Type="http://schemas.openxmlformats.org/officeDocument/2006/relationships/hyperlink" Target="https://www.dropbox.com/s/g2vocjgg8cgrlsw/22.02%20RED%20fireworks%20invoice%20Nassington%20Invoice.pdf?dl=0" TargetMode="External"/><Relationship Id="rId57" Type="http://schemas.openxmlformats.org/officeDocument/2006/relationships/hyperlink" Target="https://www.dropbox.com/s/yltdap5brte52o7/22.03%20AmazonBusinessInvoiceGB21JCFWOAEUI%20cutout%20jubilee.pdf?dl=0" TargetMode="External"/><Relationship Id="rId10" Type="http://schemas.openxmlformats.org/officeDocument/2006/relationships/hyperlink" Target="https://www.dropbox.com/s/igg9hxymqkmijyr/21.09%20Tree%20workInv%20397120%20McLaren%20Tree%20Services%20Ltd.pdf?dl=0" TargetMode="External"/><Relationship Id="rId19" Type="http://schemas.openxmlformats.org/officeDocument/2006/relationships/hyperlink" Target="https://www.dropbox.com/s/s2hia5oru72pz8b/21.04%20Royal%20Mail%20REDD%20Postage%20Confirmation%20for%20WP-4890-0661-002.pdf?dl=0" TargetMode="External"/><Relationship Id="rId31" Type="http://schemas.openxmlformats.org/officeDocument/2006/relationships/hyperlink" Target="https://www.dropbox.com/s/mmvhcd6dkss0c48/21.10%20Trend%20internet%20security%20package.pdf?dl=0" TargetMode="External"/><Relationship Id="rId44" Type="http://schemas.openxmlformats.org/officeDocument/2006/relationships/hyperlink" Target="https://www.dropbox.com/s/zfalbe2m6jjfc1q/22.02%20Plough%20Nassington%20Parish%20Council%20Jan%2022%20invoice%202699.pdf?dl=0" TargetMode="External"/><Relationship Id="rId52" Type="http://schemas.openxmlformats.org/officeDocument/2006/relationships/hyperlink" Target="https://www.dropbox.com/s/1wegtonea4uu0uc/22.03%20playchest%20order_67234.pdf?dl=0" TargetMode="External"/><Relationship Id="rId4" Type="http://schemas.openxmlformats.org/officeDocument/2006/relationships/hyperlink" Target="https://www.dropbox.com/s/rirh1vyww6janeg/21.04%20Plough%20Mar%2021%20invoice%202595.pdf?dl=0" TargetMode="External"/><Relationship Id="rId9" Type="http://schemas.openxmlformats.org/officeDocument/2006/relationships/hyperlink" Target="https://www.dropbox.com/s/qvjou98bkmhdizk/21.06%20Data%20Protection%20fee%20-%20Reminder%20to%20renew%20ICO_00016430516.pdf?dl=0" TargetMode="External"/><Relationship Id="rId14" Type="http://schemas.openxmlformats.org/officeDocument/2006/relationships/hyperlink" Target="https://www.dropbox.com/s/sikzqxt3g82s3b7/21.07%20Insurance%20Redacted%20Invoice%202021-22%20-%20092-RC%20Nassington%20Parish%20Council.pdf?dl=0" TargetMode="External"/><Relationship Id="rId22" Type="http://schemas.openxmlformats.org/officeDocument/2006/relationships/hyperlink" Target="https://www.dropbox.com/s/k7ovix8q9b78kuw/21.10%20SSE%20Sept%20consumption.pdf?dl=0" TargetMode="External"/><Relationship Id="rId27" Type="http://schemas.openxmlformats.org/officeDocument/2006/relationships/hyperlink" Target="https://www.dropbox.com/s/ld9dr6528yq6gxo/21.10%20Plough%203%20invs.pdf?dl=0" TargetMode="External"/><Relationship Id="rId30" Type="http://schemas.openxmlformats.org/officeDocument/2006/relationships/hyperlink" Target="https://www.dropbox.com/s/9q3pg3vffe0v9kr/21.11%20SSE%20Oct%20consumption.pdf?dl=0" TargetMode="External"/><Relationship Id="rId35" Type="http://schemas.openxmlformats.org/officeDocument/2006/relationships/hyperlink" Target="https://www.dropbox.com/s/2d2abfxllup4crh/21.12%20Plough%20Nov%20works%20invoice%202688RED.pdf?dl=0" TargetMode="External"/><Relationship Id="rId43" Type="http://schemas.openxmlformats.org/officeDocument/2006/relationships/hyperlink" Target="https://www.dropbox.com/s/j0c1he0u8mtei3q/22.01%20YourLocale%20NDP%20inv%204.pdf?dl=0" TargetMode="External"/><Relationship Id="rId48" Type="http://schemas.openxmlformats.org/officeDocument/2006/relationships/hyperlink" Target="https://www.dropbox.com/s/ltmb0ij21jn3fve/22.02%20SSE%20Jan%20cons.pdf?dl=0" TargetMode="External"/><Relationship Id="rId56" Type="http://schemas.openxmlformats.org/officeDocument/2006/relationships/hyperlink" Target="https://www.dropbox.com/s/vr2pvcv93hafoe8/22.03%20AmazonBusinessInvoiceGB21J9YLJAEUI%20jubilee%20masks.pdf?dl=0" TargetMode="External"/><Relationship Id="rId8" Type="http://schemas.openxmlformats.org/officeDocument/2006/relationships/hyperlink" Target="https://www.dropbox.com/s/n68uj6j1ex1btxo/21.05%20CHT%20defib%20pads%208472%20SALES%20INVOICE%20Nassington%20Parish%20Council.pdf?dl=0" TargetMode="External"/><Relationship Id="rId51" Type="http://schemas.openxmlformats.org/officeDocument/2006/relationships/hyperlink" Target="https://www.dropbox.com/sh/g734uqzax2d7l3c/AAD8IEjmoifBCZKBDytc5zuJa?dl=0" TargetMode="External"/><Relationship Id="rId3" Type="http://schemas.openxmlformats.org/officeDocument/2006/relationships/hyperlink" Target="https://www.dropbox.com/s/eu0nf9hu6kgxw5r/21.04%20NCALC%20Invoice%20INV-1113%20Ann%20fee%20%26%20audit.pdf?dl=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dropbox.com/s/ee63erdmvge6ff3/21.06%20Royal%20Mail%20REDACTED%20Postage%20Confirmation%20for%20WP-9435-7377-801.pdf?dl=0" TargetMode="External"/><Relationship Id="rId2" Type="http://schemas.openxmlformats.org/officeDocument/2006/relationships/hyperlink" Target="https://www.dropbox.com/s/s2hia5oru72pz8b/21.04%20Royal%20Mail%20REDD%20Postage%20Confirmation%20for%20WP-4890-0661-002.pdf?dl=0" TargetMode="External"/><Relationship Id="rId1" Type="http://schemas.openxmlformats.org/officeDocument/2006/relationships/hyperlink" Target="https://www.dropbox.com/s/g3uetczimoatlat/21.04%20Royal%20Mail%20RED%20Postage%20Confirmation%20for%20WP-9383-2012-301.pdf?dl=0"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dropbox.com/s/qw9wo0zots0g6kx/21.10%20TsoHost%20%20SSL%20cert%20Invoice-6667474.pdf?dl=0"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B1:U44"/>
  <sheetViews>
    <sheetView showGridLines="0" tabSelected="1" workbookViewId="0"/>
  </sheetViews>
  <sheetFormatPr defaultColWidth="9.140625" defaultRowHeight="15.75" x14ac:dyDescent="0.25"/>
  <cols>
    <col min="1" max="10" width="9.140625" style="266"/>
    <col min="11" max="11" width="9.85546875" style="266" customWidth="1"/>
    <col min="12" max="16384" width="9.140625" style="266"/>
  </cols>
  <sheetData>
    <row r="1" spans="2:21" ht="15" customHeight="1" x14ac:dyDescent="0.25"/>
    <row r="2" spans="2:21" ht="15" customHeight="1" x14ac:dyDescent="0.25">
      <c r="E2" s="267"/>
      <c r="F2" s="267"/>
      <c r="G2" s="267"/>
      <c r="H2" s="267"/>
      <c r="I2" s="267"/>
      <c r="J2" s="267"/>
      <c r="K2" s="267"/>
      <c r="L2" s="267"/>
      <c r="O2" s="268"/>
      <c r="P2" s="269"/>
      <c r="Q2" s="270" t="s">
        <v>225</v>
      </c>
    </row>
    <row r="3" spans="2:21" ht="41.25" customHeight="1" x14ac:dyDescent="0.25">
      <c r="E3" s="271"/>
      <c r="F3" s="272"/>
      <c r="H3" s="273"/>
      <c r="M3" s="1002"/>
      <c r="O3" s="1004"/>
      <c r="Q3" s="1005"/>
      <c r="R3" s="1002"/>
      <c r="S3" s="1002"/>
      <c r="T3" s="1002"/>
      <c r="U3" s="1002"/>
    </row>
    <row r="4" spans="2:21" ht="15" customHeight="1" x14ac:dyDescent="0.25">
      <c r="B4" s="267"/>
      <c r="C4" s="267"/>
      <c r="D4" s="267" t="s">
        <v>403</v>
      </c>
      <c r="E4" s="267"/>
      <c r="G4" s="267"/>
      <c r="H4" s="267"/>
      <c r="I4" s="267"/>
      <c r="J4" s="267"/>
      <c r="M4" s="1002"/>
      <c r="N4" s="1002"/>
      <c r="O4" s="1004"/>
      <c r="P4" s="1004"/>
      <c r="Q4" s="1004"/>
      <c r="R4" s="1002"/>
      <c r="S4" s="1002"/>
      <c r="T4" s="1002"/>
      <c r="U4" s="1002"/>
    </row>
    <row r="5" spans="2:21" ht="20.100000000000001" customHeight="1" x14ac:dyDescent="0.25">
      <c r="E5" s="275"/>
      <c r="M5" s="1002"/>
      <c r="N5" s="1002"/>
      <c r="O5" s="1004"/>
      <c r="P5" s="1033"/>
      <c r="Q5" s="1033"/>
      <c r="R5" s="1002"/>
      <c r="S5" s="1002"/>
      <c r="T5" s="1002"/>
      <c r="U5" s="1002"/>
    </row>
    <row r="6" spans="2:21" ht="20.100000000000001" customHeight="1" x14ac:dyDescent="0.25">
      <c r="B6" s="268"/>
      <c r="C6" s="268"/>
      <c r="E6" s="276"/>
      <c r="M6" s="1004"/>
      <c r="S6" s="1004"/>
      <c r="T6" s="1004"/>
      <c r="U6" s="1004"/>
    </row>
    <row r="7" spans="2:21" ht="20.100000000000001" customHeight="1" x14ac:dyDescent="0.25">
      <c r="B7" s="268"/>
      <c r="C7" s="268"/>
      <c r="D7" s="277" t="s">
        <v>48</v>
      </c>
      <c r="E7" s="276"/>
      <c r="F7" s="1034" t="s">
        <v>49</v>
      </c>
      <c r="G7" s="1034"/>
      <c r="H7" s="1034"/>
      <c r="I7" s="1034"/>
      <c r="J7" s="1034"/>
      <c r="K7" s="1034"/>
      <c r="M7" s="1004"/>
      <c r="N7" s="1006" t="s">
        <v>226</v>
      </c>
      <c r="S7" s="1004"/>
      <c r="T7" s="1004"/>
      <c r="U7" s="1004"/>
    </row>
    <row r="8" spans="2:21" ht="20.100000000000001" customHeight="1" x14ac:dyDescent="0.25">
      <c r="B8" s="268"/>
      <c r="C8" s="268"/>
      <c r="E8" s="276"/>
      <c r="G8" s="268"/>
      <c r="H8" s="268"/>
      <c r="I8" s="268"/>
      <c r="M8" s="1004"/>
      <c r="N8" s="1006" t="s">
        <v>576</v>
      </c>
      <c r="S8" s="1004"/>
      <c r="T8" s="1004"/>
      <c r="U8" s="1004"/>
    </row>
    <row r="9" spans="2:21" ht="20.100000000000001" customHeight="1" x14ac:dyDescent="0.25">
      <c r="B9" s="268"/>
      <c r="C9" s="268"/>
      <c r="D9" s="277" t="s">
        <v>50</v>
      </c>
      <c r="E9" s="276"/>
      <c r="F9" s="278" t="s">
        <v>238</v>
      </c>
      <c r="G9" s="268"/>
      <c r="H9" s="268"/>
      <c r="I9" s="268"/>
      <c r="M9" s="1004"/>
      <c r="N9" s="1004"/>
      <c r="O9" s="1004"/>
      <c r="P9" s="1004"/>
      <c r="Q9" s="1004"/>
      <c r="R9" s="1004"/>
      <c r="S9" s="1007"/>
    </row>
    <row r="10" spans="2:21" ht="20.100000000000001" customHeight="1" x14ac:dyDescent="0.25">
      <c r="B10" s="268"/>
      <c r="C10" s="268"/>
      <c r="E10" s="268"/>
      <c r="F10" s="268"/>
      <c r="G10" s="268"/>
      <c r="H10" s="268"/>
      <c r="I10" s="268"/>
      <c r="J10" s="268"/>
      <c r="K10" s="268"/>
      <c r="L10" s="268"/>
      <c r="M10" s="1004"/>
      <c r="N10" s="1035" t="s">
        <v>58</v>
      </c>
      <c r="O10" s="1035"/>
      <c r="P10" s="1035"/>
      <c r="Q10" s="1035"/>
      <c r="R10" s="1035"/>
      <c r="S10" s="1035"/>
      <c r="T10" s="1004"/>
      <c r="U10" s="1004"/>
    </row>
    <row r="11" spans="2:21" ht="20.100000000000001" customHeight="1" x14ac:dyDescent="0.25">
      <c r="B11" s="268"/>
      <c r="D11" s="277" t="s">
        <v>51</v>
      </c>
      <c r="E11" s="279"/>
      <c r="F11" s="278" t="s">
        <v>237</v>
      </c>
      <c r="G11" s="274"/>
      <c r="H11" s="274"/>
      <c r="I11" s="274"/>
      <c r="J11" s="274"/>
      <c r="K11" s="268"/>
      <c r="L11" s="268"/>
      <c r="M11" s="1004"/>
      <c r="N11" s="1004"/>
      <c r="O11" s="1004"/>
      <c r="P11" s="1004"/>
      <c r="Q11" s="1004"/>
      <c r="R11" s="1004"/>
      <c r="S11" s="1007"/>
      <c r="T11" s="1004"/>
      <c r="U11" s="1004"/>
    </row>
    <row r="12" spans="2:21" ht="20.100000000000001" customHeight="1" x14ac:dyDescent="0.25">
      <c r="B12" s="268"/>
      <c r="C12" s="268"/>
      <c r="E12" s="280"/>
      <c r="F12" s="268"/>
      <c r="H12" s="268"/>
      <c r="I12" s="268"/>
      <c r="J12" s="268"/>
      <c r="K12" s="268"/>
      <c r="L12" s="268"/>
      <c r="M12" s="1004"/>
      <c r="N12" s="1035" t="s">
        <v>573</v>
      </c>
      <c r="O12" s="1035"/>
      <c r="P12" s="1035"/>
      <c r="Q12" s="1035"/>
      <c r="R12" s="1035"/>
      <c r="S12" s="1035"/>
      <c r="T12" s="1004"/>
      <c r="U12" s="1004"/>
    </row>
    <row r="13" spans="2:21" ht="20.100000000000001" customHeight="1" x14ac:dyDescent="0.25">
      <c r="B13" s="268"/>
      <c r="C13" s="268"/>
      <c r="D13" s="281" t="s">
        <v>52</v>
      </c>
      <c r="E13" s="268"/>
      <c r="F13" s="278" t="s">
        <v>53</v>
      </c>
      <c r="G13" s="268"/>
      <c r="H13" s="268"/>
      <c r="I13" s="268"/>
      <c r="J13" s="268"/>
      <c r="K13" s="268"/>
      <c r="L13" s="268"/>
      <c r="M13" s="1004"/>
      <c r="N13" s="1035"/>
      <c r="O13" s="1035"/>
      <c r="P13" s="1035"/>
      <c r="Q13" s="1035"/>
      <c r="R13" s="1035"/>
      <c r="S13" s="1035"/>
      <c r="T13" s="1004"/>
      <c r="U13" s="1004"/>
    </row>
    <row r="14" spans="2:21" ht="20.100000000000001" customHeight="1" x14ac:dyDescent="0.25">
      <c r="B14" s="268"/>
      <c r="C14" s="268"/>
      <c r="D14" s="282"/>
      <c r="E14" s="268"/>
      <c r="F14" s="268"/>
      <c r="G14" s="268"/>
      <c r="H14" s="268"/>
      <c r="I14" s="268"/>
      <c r="J14" s="268"/>
      <c r="K14" s="268"/>
      <c r="L14" s="268"/>
      <c r="M14" s="1004"/>
      <c r="N14" s="1003"/>
      <c r="O14" s="1004"/>
      <c r="P14" s="1004"/>
      <c r="Q14" s="1004"/>
      <c r="R14" s="1004"/>
      <c r="S14" s="1007"/>
      <c r="T14" s="1007"/>
      <c r="U14" s="1004"/>
    </row>
    <row r="15" spans="2:21" ht="20.100000000000001" customHeight="1" x14ac:dyDescent="0.25">
      <c r="M15" s="1002"/>
      <c r="O15" s="1002"/>
      <c r="P15" s="1002"/>
      <c r="Q15" s="1002"/>
      <c r="R15" s="1002"/>
      <c r="S15" s="1002"/>
      <c r="T15" s="1002"/>
      <c r="U15" s="1002"/>
    </row>
    <row r="16" spans="2:21" ht="20.100000000000001" customHeight="1" x14ac:dyDescent="0.25">
      <c r="F16" s="283" t="s">
        <v>54</v>
      </c>
      <c r="I16" s="284" t="s">
        <v>59</v>
      </c>
      <c r="M16" s="1002"/>
      <c r="N16" s="1002"/>
      <c r="O16" s="1002"/>
      <c r="P16" s="1002"/>
      <c r="Q16" s="1002"/>
      <c r="R16" s="1002"/>
      <c r="S16" s="1002"/>
      <c r="T16" s="1002"/>
      <c r="U16" s="1002"/>
    </row>
    <row r="17" spans="10:21" ht="20.100000000000001" customHeight="1" x14ac:dyDescent="0.25">
      <c r="M17" s="1002"/>
      <c r="N17" s="1002"/>
      <c r="O17" s="1002"/>
      <c r="P17" s="1002"/>
      <c r="Q17" s="1002"/>
      <c r="R17" s="1002"/>
      <c r="S17" s="1002"/>
      <c r="T17" s="1002"/>
      <c r="U17" s="1002"/>
    </row>
    <row r="18" spans="10:21" ht="15" customHeight="1" x14ac:dyDescent="0.25">
      <c r="M18" s="1002"/>
      <c r="N18" s="1002"/>
      <c r="O18" s="1002"/>
      <c r="P18" s="1002"/>
      <c r="Q18" s="1002"/>
      <c r="R18" s="1002"/>
      <c r="S18" s="1002"/>
      <c r="T18" s="1002"/>
      <c r="U18" s="1002"/>
    </row>
    <row r="19" spans="10:21" ht="15" customHeight="1" x14ac:dyDescent="0.25">
      <c r="M19" s="1002"/>
      <c r="N19" s="1002"/>
      <c r="O19" s="1002"/>
      <c r="P19" s="1002"/>
      <c r="Q19" s="1002"/>
      <c r="R19" s="1002"/>
      <c r="S19" s="1002"/>
      <c r="T19" s="1002"/>
      <c r="U19" s="1002"/>
    </row>
    <row r="20" spans="10:21" ht="15" customHeight="1" x14ac:dyDescent="0.25">
      <c r="M20" s="1002"/>
      <c r="N20" s="1002"/>
      <c r="O20" s="1002"/>
      <c r="P20" s="1002"/>
      <c r="Q20" s="1002"/>
      <c r="R20" s="1002"/>
      <c r="S20" s="1002"/>
      <c r="T20" s="1002"/>
      <c r="U20" s="1002"/>
    </row>
    <row r="21" spans="10:21" ht="15" customHeight="1" x14ac:dyDescent="0.25">
      <c r="J21" s="376"/>
      <c r="M21" s="1002"/>
      <c r="N21" s="1002"/>
      <c r="O21" s="1002"/>
      <c r="P21" s="1002"/>
      <c r="Q21" s="1002"/>
      <c r="R21" s="1002"/>
      <c r="S21" s="1002"/>
      <c r="T21" s="1002"/>
      <c r="U21" s="1002"/>
    </row>
    <row r="22" spans="10:21" ht="15" customHeight="1" x14ac:dyDescent="0.25">
      <c r="M22" s="1002"/>
      <c r="N22" s="1002"/>
      <c r="O22" s="1002"/>
      <c r="P22" s="1002"/>
      <c r="Q22" s="1002"/>
      <c r="R22" s="1002"/>
      <c r="S22" s="1002"/>
      <c r="T22" s="1002"/>
      <c r="U22" s="1002"/>
    </row>
    <row r="23" spans="10:21" ht="15" customHeight="1" x14ac:dyDescent="0.25">
      <c r="N23" s="1002"/>
      <c r="O23" s="1002"/>
      <c r="P23" s="1002"/>
      <c r="Q23" s="1002"/>
      <c r="R23" s="1002"/>
    </row>
    <row r="24" spans="10:21" ht="15" customHeight="1" x14ac:dyDescent="0.25"/>
    <row r="25" spans="10:21" ht="15" customHeight="1" x14ac:dyDescent="0.25"/>
    <row r="26" spans="10:21" ht="15" customHeight="1" x14ac:dyDescent="0.25"/>
    <row r="27" spans="10:21" ht="15" customHeight="1" x14ac:dyDescent="0.25"/>
    <row r="28" spans="10:21" ht="15" customHeight="1" x14ac:dyDescent="0.25"/>
    <row r="29" spans="10:21" ht="15" customHeight="1" x14ac:dyDescent="0.25"/>
    <row r="30" spans="10:21" ht="15" customHeight="1" x14ac:dyDescent="0.25"/>
    <row r="31" spans="10:21" ht="15" customHeight="1" x14ac:dyDescent="0.25"/>
    <row r="32" spans="10:2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sheetData>
  <sheetProtection algorithmName="SHA-512" hashValue="UVa25fCLvci5nik6lOhQv3uwLEKbg85eonHJ9ZAffdBDK8RJoVMOYSxZqvwQSN68pmi/iCspRgC8hpGVJy9tyQ==" saltValue="gweng1mwoxhsuIj9/tJTmw==" spinCount="100000" sheet="1" objects="1" scenarios="1"/>
  <mergeCells count="4">
    <mergeCell ref="P5:Q5"/>
    <mergeCell ref="F7:K7"/>
    <mergeCell ref="N10:S10"/>
    <mergeCell ref="N12:S13"/>
  </mergeCells>
  <hyperlinks>
    <hyperlink ref="N9:S9" location="'Asset Register'!A1" display="-  A list of all the Parish Council's assets" xr:uid="{A6C677BF-1F77-4EC4-B783-1CF1B54FCA5C}"/>
    <hyperlink ref="N7" location="'Audit Bank rec'!A1" display="Audit reconciliation" xr:uid="{11D9B702-5579-42C1-9745-8E286DF17301}"/>
  </hyperlinks>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1"/>
    <pageSetUpPr fitToPage="1"/>
  </sheetPr>
  <dimension ref="A2:S133"/>
  <sheetViews>
    <sheetView showGridLines="0" zoomScaleNormal="100" workbookViewId="0">
      <pane ySplit="3" topLeftCell="A51" activePane="bottomLeft" state="frozen"/>
      <selection activeCell="E22" sqref="E22"/>
      <selection pane="bottomLeft" activeCell="K72" sqref="K72"/>
    </sheetView>
  </sheetViews>
  <sheetFormatPr defaultColWidth="9.140625" defaultRowHeight="15" x14ac:dyDescent="0.25"/>
  <cols>
    <col min="1" max="1" width="1.28515625" style="377" customWidth="1"/>
    <col min="2" max="2" width="9.28515625" style="377" customWidth="1"/>
    <col min="3" max="3" width="26" style="377" customWidth="1"/>
    <col min="4" max="4" width="27.28515625" style="377" customWidth="1"/>
    <col min="5" max="5" width="13.85546875" style="377" bestFit="1" customWidth="1"/>
    <col min="6" max="6" width="38.42578125" style="378" bestFit="1" customWidth="1"/>
    <col min="7" max="7" width="11.28515625" style="379" hidden="1" customWidth="1"/>
    <col min="8" max="8" width="11.28515625" style="379" customWidth="1"/>
    <col min="9" max="9" width="11.28515625" style="380" customWidth="1"/>
    <col min="10" max="10" width="10.5703125" style="377" customWidth="1"/>
    <col min="11" max="11" width="41" style="377" customWidth="1"/>
    <col min="12" max="14" width="9.140625" style="377"/>
    <col min="15" max="15" width="26.140625" style="377" customWidth="1"/>
    <col min="16" max="16" width="21.42578125" style="377" bestFit="1" customWidth="1"/>
    <col min="17" max="17" width="15.85546875" style="377" customWidth="1"/>
    <col min="18" max="18" width="1.85546875" style="377" customWidth="1"/>
    <col min="19" max="19" width="12.140625" style="377" customWidth="1"/>
    <col min="20" max="20" width="5.28515625" style="377" customWidth="1"/>
    <col min="21" max="16384" width="9.140625" style="377"/>
  </cols>
  <sheetData>
    <row r="2" spans="1:19" ht="15.75" thickBot="1" x14ac:dyDescent="0.3">
      <c r="O2" s="1147"/>
      <c r="P2" s="1147"/>
    </row>
    <row r="3" spans="1:19" s="378" customFormat="1" ht="75.75" thickBot="1" x14ac:dyDescent="0.3">
      <c r="B3" s="381" t="s">
        <v>82</v>
      </c>
      <c r="C3" s="382" t="s">
        <v>83</v>
      </c>
      <c r="D3" s="382" t="s">
        <v>84</v>
      </c>
      <c r="E3" s="382" t="s">
        <v>85</v>
      </c>
      <c r="F3" s="382" t="s">
        <v>86</v>
      </c>
      <c r="G3" s="383" t="s">
        <v>276</v>
      </c>
      <c r="H3" s="383" t="s">
        <v>571</v>
      </c>
      <c r="I3" s="384" t="s">
        <v>87</v>
      </c>
      <c r="J3" s="382" t="s">
        <v>88</v>
      </c>
      <c r="K3" s="385" t="s">
        <v>89</v>
      </c>
      <c r="L3" s="386"/>
      <c r="M3" s="386"/>
      <c r="N3" s="386"/>
      <c r="P3" s="387"/>
      <c r="Q3" s="386"/>
      <c r="S3" s="386"/>
    </row>
    <row r="4" spans="1:19" s="388" customFormat="1" ht="18.75" customHeight="1" x14ac:dyDescent="0.2">
      <c r="B4" s="389" t="s">
        <v>90</v>
      </c>
      <c r="C4" s="390" t="s">
        <v>91</v>
      </c>
      <c r="D4" s="391" t="s">
        <v>92</v>
      </c>
      <c r="E4" s="392">
        <v>22031</v>
      </c>
      <c r="F4" s="393" t="s">
        <v>93</v>
      </c>
      <c r="G4" s="394">
        <v>1</v>
      </c>
      <c r="H4" s="394">
        <f>G4</f>
        <v>1</v>
      </c>
      <c r="I4" s="395"/>
      <c r="J4" s="393"/>
      <c r="K4" s="396"/>
      <c r="L4" s="397"/>
      <c r="M4" s="397"/>
      <c r="N4" s="397"/>
      <c r="P4" s="398"/>
      <c r="Q4" s="397"/>
      <c r="S4" s="399"/>
    </row>
    <row r="5" spans="1:19" s="388" customFormat="1" ht="19.5" customHeight="1" x14ac:dyDescent="0.2">
      <c r="B5" s="400" t="s">
        <v>90</v>
      </c>
      <c r="C5" s="390" t="s">
        <v>94</v>
      </c>
      <c r="D5" s="391" t="s">
        <v>95</v>
      </c>
      <c r="E5" s="392">
        <v>25556</v>
      </c>
      <c r="F5" s="393" t="s">
        <v>96</v>
      </c>
      <c r="G5" s="394">
        <v>1</v>
      </c>
      <c r="H5" s="394">
        <f>G5</f>
        <v>1</v>
      </c>
      <c r="I5" s="395"/>
      <c r="J5" s="393"/>
      <c r="K5" s="396"/>
      <c r="P5" s="398"/>
      <c r="Q5" s="401"/>
      <c r="S5" s="401"/>
    </row>
    <row r="6" spans="1:19" hidden="1" x14ac:dyDescent="0.25">
      <c r="B6" s="402" t="s">
        <v>90</v>
      </c>
      <c r="C6" s="403" t="s">
        <v>97</v>
      </c>
      <c r="D6" s="403" t="s">
        <v>98</v>
      </c>
      <c r="E6" s="404" t="s">
        <v>99</v>
      </c>
      <c r="F6" s="405" t="s">
        <v>100</v>
      </c>
      <c r="G6" s="406"/>
      <c r="H6" s="406"/>
      <c r="I6" s="407"/>
      <c r="J6" s="405"/>
      <c r="K6" s="408"/>
      <c r="L6" s="409"/>
      <c r="M6" s="409"/>
      <c r="N6" s="409"/>
      <c r="P6" s="410"/>
      <c r="Q6" s="411"/>
      <c r="S6" s="411"/>
    </row>
    <row r="7" spans="1:19" ht="28.5" customHeight="1" x14ac:dyDescent="0.25">
      <c r="B7" s="1150" t="s">
        <v>101</v>
      </c>
      <c r="C7" s="412" t="s">
        <v>102</v>
      </c>
      <c r="D7" s="1152" t="s">
        <v>103</v>
      </c>
      <c r="E7" s="413"/>
      <c r="F7" s="414"/>
      <c r="G7" s="415"/>
      <c r="H7" s="415"/>
      <c r="I7" s="416"/>
      <c r="J7" s="414"/>
      <c r="K7" s="1154" t="s">
        <v>104</v>
      </c>
      <c r="P7" s="410"/>
      <c r="Q7" s="417"/>
      <c r="S7" s="411"/>
    </row>
    <row r="8" spans="1:19" ht="54.75" customHeight="1" x14ac:dyDescent="0.25">
      <c r="B8" s="1151"/>
      <c r="C8" s="418" t="s">
        <v>105</v>
      </c>
      <c r="D8" s="1153"/>
      <c r="E8" s="419" t="s">
        <v>106</v>
      </c>
      <c r="F8" s="420" t="s">
        <v>96</v>
      </c>
      <c r="G8" s="421">
        <v>100450</v>
      </c>
      <c r="H8" s="394">
        <f>G8</f>
        <v>100450</v>
      </c>
      <c r="I8" s="422">
        <v>115883</v>
      </c>
      <c r="J8" s="420"/>
      <c r="K8" s="1136"/>
      <c r="P8" s="410"/>
      <c r="Q8" s="411"/>
      <c r="S8" s="423"/>
    </row>
    <row r="9" spans="1:19" x14ac:dyDescent="0.25">
      <c r="B9" s="424"/>
      <c r="C9" s="403"/>
      <c r="D9" s="403"/>
      <c r="E9" s="404"/>
      <c r="F9" s="405"/>
      <c r="G9" s="406"/>
      <c r="H9" s="406"/>
      <c r="I9" s="407"/>
      <c r="J9" s="405"/>
      <c r="K9" s="408"/>
      <c r="P9" s="410"/>
      <c r="Q9" s="411"/>
      <c r="S9" s="411"/>
    </row>
    <row r="10" spans="1:19" ht="19.5" customHeight="1" x14ac:dyDescent="0.25">
      <c r="B10" s="425"/>
      <c r="C10" s="412" t="s">
        <v>107</v>
      </c>
      <c r="D10" s="426"/>
      <c r="E10" s="413"/>
      <c r="F10" s="414"/>
      <c r="G10" s="415"/>
      <c r="H10" s="415"/>
      <c r="I10" s="416"/>
      <c r="J10" s="414"/>
      <c r="K10" s="1155" t="s">
        <v>108</v>
      </c>
      <c r="P10" s="410"/>
      <c r="Q10" s="411"/>
      <c r="S10" s="411"/>
    </row>
    <row r="11" spans="1:19" ht="19.5" customHeight="1" x14ac:dyDescent="0.25">
      <c r="A11" s="427"/>
      <c r="B11" s="428" t="s">
        <v>109</v>
      </c>
      <c r="C11" s="429" t="s">
        <v>110</v>
      </c>
      <c r="D11" s="429" t="s">
        <v>111</v>
      </c>
      <c r="E11" s="430">
        <v>1960</v>
      </c>
      <c r="F11" s="431" t="s">
        <v>112</v>
      </c>
      <c r="G11" s="432">
        <v>0</v>
      </c>
      <c r="H11" s="432"/>
      <c r="I11" s="433"/>
      <c r="J11" s="431">
        <v>2011</v>
      </c>
      <c r="K11" s="1156"/>
      <c r="P11" s="434"/>
      <c r="Q11" s="411"/>
      <c r="S11" s="423"/>
    </row>
    <row r="12" spans="1:19" ht="20.25" customHeight="1" x14ac:dyDescent="0.25">
      <c r="A12" s="427"/>
      <c r="B12" s="435" t="s">
        <v>113</v>
      </c>
      <c r="C12" s="436" t="s">
        <v>114</v>
      </c>
      <c r="D12" s="436" t="s">
        <v>115</v>
      </c>
      <c r="E12" s="437" t="s">
        <v>116</v>
      </c>
      <c r="F12" s="438" t="s">
        <v>117</v>
      </c>
      <c r="G12" s="1159">
        <v>1243</v>
      </c>
      <c r="H12" s="1159">
        <f>G12</f>
        <v>1243</v>
      </c>
      <c r="I12" s="439">
        <v>450</v>
      </c>
      <c r="J12" s="440"/>
      <c r="K12" s="1157" t="s">
        <v>118</v>
      </c>
      <c r="M12" s="441"/>
      <c r="N12" s="441"/>
      <c r="P12" s="410"/>
      <c r="Q12" s="411"/>
      <c r="S12" s="411"/>
    </row>
    <row r="13" spans="1:19" x14ac:dyDescent="0.25">
      <c r="A13" s="427"/>
      <c r="B13" s="435"/>
      <c r="C13" s="436"/>
      <c r="D13" s="436" t="s">
        <v>119</v>
      </c>
      <c r="E13" s="437" t="s">
        <v>120</v>
      </c>
      <c r="F13" s="438" t="s">
        <v>121</v>
      </c>
      <c r="G13" s="1160"/>
      <c r="H13" s="1160"/>
      <c r="I13" s="442">
        <v>1300</v>
      </c>
      <c r="J13" s="440"/>
      <c r="K13" s="1158"/>
      <c r="M13" s="441"/>
      <c r="N13" s="441"/>
      <c r="P13" s="410"/>
      <c r="Q13" s="411"/>
      <c r="S13" s="411"/>
    </row>
    <row r="14" spans="1:19" x14ac:dyDescent="0.25">
      <c r="A14" s="427"/>
      <c r="B14" s="435"/>
      <c r="C14" s="436"/>
      <c r="D14" s="436" t="s">
        <v>122</v>
      </c>
      <c r="E14" s="443" t="s">
        <v>123</v>
      </c>
      <c r="F14" s="438" t="s">
        <v>124</v>
      </c>
      <c r="G14" s="1160"/>
      <c r="H14" s="1160"/>
      <c r="I14" s="442">
        <v>450</v>
      </c>
      <c r="J14" s="440"/>
      <c r="K14" s="1158"/>
      <c r="M14" s="441"/>
      <c r="N14" s="441"/>
      <c r="P14" s="410"/>
      <c r="Q14" s="411"/>
      <c r="S14" s="411"/>
    </row>
    <row r="15" spans="1:19" x14ac:dyDescent="0.25">
      <c r="A15" s="427"/>
      <c r="B15" s="435"/>
      <c r="C15" s="436"/>
      <c r="D15" s="436" t="s">
        <v>94</v>
      </c>
      <c r="E15" s="443"/>
      <c r="F15" s="438" t="s">
        <v>125</v>
      </c>
      <c r="G15" s="1160"/>
      <c r="H15" s="1160"/>
      <c r="I15" s="442">
        <v>1200</v>
      </c>
      <c r="J15" s="440">
        <v>2007</v>
      </c>
      <c r="K15" s="1158"/>
      <c r="M15" s="441"/>
      <c r="N15" s="441"/>
      <c r="P15" s="410"/>
      <c r="Q15" s="411"/>
      <c r="S15" s="411"/>
    </row>
    <row r="16" spans="1:19" hidden="1" x14ac:dyDescent="0.25">
      <c r="A16" s="427"/>
      <c r="B16" s="435"/>
      <c r="C16" s="436"/>
      <c r="D16" s="436" t="s">
        <v>126</v>
      </c>
      <c r="E16" s="443"/>
      <c r="F16" s="438" t="s">
        <v>127</v>
      </c>
      <c r="G16" s="1160"/>
      <c r="H16" s="1160"/>
      <c r="I16" s="442">
        <v>0</v>
      </c>
      <c r="J16" s="440"/>
      <c r="K16" s="1158"/>
      <c r="M16" s="441"/>
      <c r="N16" s="441"/>
      <c r="P16" s="410"/>
      <c r="Q16" s="411"/>
      <c r="S16" s="411"/>
    </row>
    <row r="17" spans="1:19" hidden="1" x14ac:dyDescent="0.25">
      <c r="A17" s="427"/>
      <c r="B17" s="435"/>
      <c r="C17" s="436"/>
      <c r="D17" s="436" t="s">
        <v>128</v>
      </c>
      <c r="E17" s="443"/>
      <c r="F17" s="438" t="s">
        <v>129</v>
      </c>
      <c r="G17" s="1160"/>
      <c r="H17" s="1160"/>
      <c r="I17" s="442"/>
      <c r="J17" s="440"/>
      <c r="K17" s="1158"/>
      <c r="M17" s="441"/>
      <c r="N17" s="441"/>
      <c r="P17" s="410"/>
      <c r="Q17" s="411"/>
      <c r="S17" s="411"/>
    </row>
    <row r="18" spans="1:19" hidden="1" x14ac:dyDescent="0.25">
      <c r="A18" s="427"/>
      <c r="B18" s="435"/>
      <c r="C18" s="566"/>
      <c r="D18" s="436" t="s">
        <v>130</v>
      </c>
      <c r="E18" s="443" t="s">
        <v>131</v>
      </c>
      <c r="F18" s="438" t="s">
        <v>132</v>
      </c>
      <c r="G18" s="1160"/>
      <c r="H18" s="1160"/>
      <c r="I18" s="445"/>
      <c r="J18" s="446"/>
      <c r="K18" s="1158"/>
      <c r="M18" s="441"/>
      <c r="N18" s="441"/>
      <c r="P18" s="410"/>
      <c r="Q18" s="411"/>
      <c r="S18" s="411"/>
    </row>
    <row r="19" spans="1:19" x14ac:dyDescent="0.25">
      <c r="A19" s="427"/>
      <c r="B19" s="435"/>
      <c r="C19" s="436"/>
      <c r="D19" s="436" t="s">
        <v>94</v>
      </c>
      <c r="E19" s="443" t="s">
        <v>133</v>
      </c>
      <c r="F19" s="438" t="s">
        <v>94</v>
      </c>
      <c r="G19" s="514">
        <v>451</v>
      </c>
      <c r="H19" s="444">
        <f>G19</f>
        <v>451</v>
      </c>
      <c r="I19" s="445"/>
      <c r="J19" s="446"/>
      <c r="K19" s="564"/>
      <c r="M19" s="441"/>
      <c r="N19" s="441"/>
      <c r="P19" s="410"/>
      <c r="Q19" s="411"/>
      <c r="S19" s="411"/>
    </row>
    <row r="20" spans="1:19" x14ac:dyDescent="0.25">
      <c r="A20" s="427"/>
      <c r="B20" s="435"/>
      <c r="C20" s="1163" t="s">
        <v>383</v>
      </c>
      <c r="D20" s="697" t="s">
        <v>384</v>
      </c>
      <c r="E20" s="1161">
        <v>44044</v>
      </c>
      <c r="F20" s="698"/>
      <c r="G20" s="519"/>
      <c r="H20" s="519">
        <f>320+290</f>
        <v>610</v>
      </c>
      <c r="I20" s="699">
        <v>650</v>
      </c>
      <c r="J20" s="700"/>
      <c r="K20" s="683"/>
      <c r="M20" s="441"/>
      <c r="N20" s="441"/>
      <c r="P20" s="410"/>
      <c r="Q20" s="411"/>
      <c r="S20" s="411"/>
    </row>
    <row r="21" spans="1:19" x14ac:dyDescent="0.25">
      <c r="A21" s="427"/>
      <c r="B21" s="435"/>
      <c r="C21" s="1163"/>
      <c r="D21" s="697" t="s">
        <v>385</v>
      </c>
      <c r="E21" s="1161"/>
      <c r="F21" s="698"/>
      <c r="G21" s="519"/>
      <c r="H21" s="519">
        <f>14+320</f>
        <v>334</v>
      </c>
      <c r="I21" s="699">
        <v>350</v>
      </c>
      <c r="J21" s="700"/>
      <c r="K21" s="683"/>
      <c r="M21" s="441"/>
      <c r="N21" s="441"/>
      <c r="P21" s="410"/>
      <c r="Q21" s="411"/>
      <c r="S21" s="411"/>
    </row>
    <row r="22" spans="1:19" x14ac:dyDescent="0.25">
      <c r="A22" s="427"/>
      <c r="B22" s="435"/>
      <c r="C22" s="1163"/>
      <c r="D22" s="697" t="s">
        <v>386</v>
      </c>
      <c r="E22" s="1161"/>
      <c r="F22" s="698"/>
      <c r="G22" s="519"/>
      <c r="H22" s="519">
        <f>320+290</f>
        <v>610</v>
      </c>
      <c r="I22" s="699">
        <v>650</v>
      </c>
      <c r="J22" s="700"/>
      <c r="K22" s="683"/>
      <c r="M22" s="441"/>
      <c r="N22" s="441"/>
      <c r="P22" s="410"/>
      <c r="Q22" s="411"/>
      <c r="S22" s="411"/>
    </row>
    <row r="23" spans="1:19" x14ac:dyDescent="0.25">
      <c r="A23" s="427"/>
      <c r="B23" s="435"/>
      <c r="C23" s="1163"/>
      <c r="D23" s="697" t="s">
        <v>387</v>
      </c>
      <c r="E23" s="1161"/>
      <c r="F23" s="698"/>
      <c r="G23" s="519"/>
      <c r="H23" s="519">
        <v>334</v>
      </c>
      <c r="I23" s="699">
        <v>350</v>
      </c>
      <c r="J23" s="700"/>
      <c r="K23" s="683"/>
      <c r="M23" s="441"/>
      <c r="N23" s="441"/>
      <c r="P23" s="410"/>
      <c r="Q23" s="411"/>
      <c r="S23" s="411"/>
    </row>
    <row r="24" spans="1:19" x14ac:dyDescent="0.25">
      <c r="A24" s="427"/>
      <c r="B24" s="435"/>
      <c r="C24" s="1163"/>
      <c r="D24" s="697" t="s">
        <v>388</v>
      </c>
      <c r="E24" s="1161"/>
      <c r="F24" s="698"/>
      <c r="G24" s="519"/>
      <c r="H24" s="699">
        <f>320+290</f>
        <v>610</v>
      </c>
      <c r="I24" s="699">
        <v>650</v>
      </c>
      <c r="J24" s="700"/>
      <c r="K24" s="683"/>
      <c r="M24" s="441"/>
      <c r="N24" s="441"/>
      <c r="P24" s="410"/>
      <c r="Q24" s="411"/>
      <c r="S24" s="411"/>
    </row>
    <row r="25" spans="1:19" x14ac:dyDescent="0.25">
      <c r="A25" s="427"/>
      <c r="B25" s="435"/>
      <c r="C25" s="1163"/>
      <c r="D25" s="702" t="s">
        <v>389</v>
      </c>
      <c r="E25" s="1162">
        <v>44197</v>
      </c>
      <c r="F25" s="703"/>
      <c r="G25" s="704"/>
      <c r="H25" s="705">
        <f>296+275</f>
        <v>571</v>
      </c>
      <c r="I25" s="705">
        <v>600</v>
      </c>
      <c r="J25" s="706"/>
      <c r="K25" s="683"/>
      <c r="M25" s="441"/>
      <c r="N25" s="441"/>
      <c r="P25" s="410"/>
      <c r="Q25" s="411"/>
      <c r="S25" s="411"/>
    </row>
    <row r="26" spans="1:19" x14ac:dyDescent="0.25">
      <c r="A26" s="427"/>
      <c r="B26" s="435"/>
      <c r="C26" s="1163"/>
      <c r="D26" s="702" t="s">
        <v>390</v>
      </c>
      <c r="E26" s="1162"/>
      <c r="F26" s="703"/>
      <c r="G26" s="704"/>
      <c r="H26" s="705">
        <f>275+296</f>
        <v>571</v>
      </c>
      <c r="I26" s="705">
        <v>600</v>
      </c>
      <c r="J26" s="706"/>
      <c r="K26" s="683"/>
      <c r="M26" s="441"/>
      <c r="N26" s="441"/>
      <c r="P26" s="410"/>
      <c r="Q26" s="411"/>
      <c r="S26" s="411"/>
    </row>
    <row r="27" spans="1:19" x14ac:dyDescent="0.25">
      <c r="A27" s="427"/>
      <c r="B27" s="435"/>
      <c r="C27" s="962"/>
      <c r="D27" s="702" t="s">
        <v>565</v>
      </c>
      <c r="E27" s="961">
        <v>44562</v>
      </c>
      <c r="F27" s="703" t="s">
        <v>129</v>
      </c>
      <c r="G27" s="704"/>
      <c r="H27" s="705">
        <f>Payments!M86</f>
        <v>356</v>
      </c>
      <c r="I27" s="705">
        <v>400</v>
      </c>
      <c r="J27" s="706"/>
      <c r="K27" s="960"/>
      <c r="M27" s="441"/>
      <c r="N27" s="441"/>
      <c r="P27" s="410"/>
      <c r="Q27" s="411"/>
      <c r="S27" s="411"/>
    </row>
    <row r="28" spans="1:19" x14ac:dyDescent="0.25">
      <c r="A28" s="427"/>
      <c r="B28" s="435"/>
      <c r="C28" s="962"/>
      <c r="D28" s="702" t="s">
        <v>564</v>
      </c>
      <c r="E28" s="961">
        <v>44470</v>
      </c>
      <c r="F28" s="703" t="s">
        <v>117</v>
      </c>
      <c r="G28" s="704"/>
      <c r="H28" s="705">
        <f>Payments!M71</f>
        <v>598</v>
      </c>
      <c r="I28" s="705">
        <v>600</v>
      </c>
      <c r="J28" s="706"/>
      <c r="K28" s="960"/>
      <c r="M28" s="441"/>
      <c r="N28" s="441"/>
      <c r="P28" s="410"/>
      <c r="Q28" s="411"/>
      <c r="S28" s="411"/>
    </row>
    <row r="29" spans="1:19" x14ac:dyDescent="0.25">
      <c r="B29" s="428"/>
      <c r="C29" s="429"/>
      <c r="D29" s="436" t="s">
        <v>333</v>
      </c>
      <c r="E29" s="565" t="s">
        <v>329</v>
      </c>
      <c r="F29" s="438" t="s">
        <v>334</v>
      </c>
      <c r="G29" s="444"/>
      <c r="H29" s="567">
        <v>1345</v>
      </c>
      <c r="I29" s="447">
        <v>1500</v>
      </c>
      <c r="J29" s="448"/>
      <c r="K29" s="449"/>
      <c r="M29" s="441"/>
      <c r="N29" s="701"/>
      <c r="P29" s="434"/>
      <c r="Q29" s="411"/>
      <c r="S29" s="423"/>
    </row>
    <row r="30" spans="1:19" ht="26.25" customHeight="1" x14ac:dyDescent="0.25">
      <c r="A30" s="427"/>
      <c r="B30" s="450"/>
      <c r="C30" s="451" t="s">
        <v>134</v>
      </c>
      <c r="D30" s="451" t="s">
        <v>135</v>
      </c>
      <c r="E30" s="452">
        <v>37387</v>
      </c>
      <c r="F30" s="1000" t="s">
        <v>136</v>
      </c>
      <c r="G30" s="453">
        <v>3500</v>
      </c>
      <c r="H30" s="453">
        <f>G30</f>
        <v>3500</v>
      </c>
      <c r="I30" s="454">
        <v>4000</v>
      </c>
      <c r="J30" s="455"/>
      <c r="K30" s="456" t="s">
        <v>137</v>
      </c>
      <c r="P30" s="434"/>
      <c r="Q30" s="411"/>
      <c r="S30" s="423"/>
    </row>
    <row r="31" spans="1:19" ht="22.5" customHeight="1" x14ac:dyDescent="0.25">
      <c r="B31" s="554"/>
      <c r="C31" s="734" t="s">
        <v>138</v>
      </c>
      <c r="D31" s="734"/>
      <c r="E31" s="735"/>
      <c r="F31" s="736"/>
      <c r="G31" s="555">
        <v>813.54</v>
      </c>
      <c r="H31" s="555">
        <f>G31</f>
        <v>813.54</v>
      </c>
      <c r="I31" s="556">
        <f>H31</f>
        <v>813.54</v>
      </c>
      <c r="J31" s="557"/>
      <c r="K31" s="456"/>
      <c r="P31" s="434"/>
      <c r="Q31" s="411"/>
      <c r="S31" s="423"/>
    </row>
    <row r="32" spans="1:19" ht="22.5" customHeight="1" x14ac:dyDescent="0.25">
      <c r="B32" s="554"/>
      <c r="C32" s="734" t="s">
        <v>393</v>
      </c>
      <c r="D32" s="734" t="s">
        <v>394</v>
      </c>
      <c r="E32" s="735"/>
      <c r="F32" s="736" t="s">
        <v>566</v>
      </c>
      <c r="G32" s="555"/>
      <c r="H32" s="555">
        <v>1167</v>
      </c>
      <c r="I32" s="556">
        <v>1167</v>
      </c>
      <c r="J32" s="557"/>
      <c r="K32" s="733"/>
      <c r="P32" s="434"/>
      <c r="Q32" s="411"/>
      <c r="S32" s="423"/>
    </row>
    <row r="33" spans="1:19" s="549" customFormat="1" ht="22.5" customHeight="1" x14ac:dyDescent="0.25">
      <c r="B33" s="570"/>
      <c r="C33" s="571" t="s">
        <v>567</v>
      </c>
      <c r="D33" s="571" t="s">
        <v>331</v>
      </c>
      <c r="E33" s="572"/>
      <c r="F33" s="573"/>
      <c r="G33" s="556"/>
      <c r="H33" s="569">
        <v>7160</v>
      </c>
      <c r="I33" s="556">
        <f>H33</f>
        <v>7160</v>
      </c>
      <c r="J33" s="574"/>
      <c r="K33" s="550"/>
      <c r="P33" s="551"/>
      <c r="Q33" s="552"/>
      <c r="S33" s="553"/>
    </row>
    <row r="34" spans="1:19" s="549" customFormat="1" ht="22.5" customHeight="1" x14ac:dyDescent="0.25">
      <c r="A34" s="558"/>
      <c r="B34" s="559"/>
      <c r="C34" s="560" t="s">
        <v>568</v>
      </c>
      <c r="D34" s="560" t="s">
        <v>330</v>
      </c>
      <c r="E34" s="561"/>
      <c r="F34" s="562"/>
      <c r="G34" s="454"/>
      <c r="H34" s="569">
        <v>6476</v>
      </c>
      <c r="I34" s="454">
        <f>H34</f>
        <v>6476</v>
      </c>
      <c r="J34" s="563"/>
      <c r="K34" s="550"/>
      <c r="P34" s="551"/>
      <c r="Q34" s="552"/>
      <c r="S34" s="553"/>
    </row>
    <row r="35" spans="1:19" s="549" customFormat="1" ht="22.5" customHeight="1" x14ac:dyDescent="0.25">
      <c r="A35" s="720"/>
      <c r="B35" s="570"/>
      <c r="C35" s="571" t="s">
        <v>568</v>
      </c>
      <c r="D35" s="571" t="s">
        <v>569</v>
      </c>
      <c r="E35" s="572"/>
      <c r="F35" s="573" t="s">
        <v>570</v>
      </c>
      <c r="G35" s="556"/>
      <c r="H35" s="1001">
        <v>5406</v>
      </c>
      <c r="I35" s="556">
        <f>H35</f>
        <v>5406</v>
      </c>
      <c r="J35" s="722"/>
      <c r="K35" s="550"/>
      <c r="P35" s="551"/>
      <c r="Q35" s="552"/>
      <c r="S35" s="553"/>
    </row>
    <row r="36" spans="1:19" s="549" customFormat="1" ht="22.5" customHeight="1" x14ac:dyDescent="0.25">
      <c r="A36" s="720"/>
      <c r="B36" s="723"/>
      <c r="C36" s="724" t="s">
        <v>338</v>
      </c>
      <c r="D36" s="724"/>
      <c r="E36" s="725"/>
      <c r="F36" s="726"/>
      <c r="G36" s="727"/>
      <c r="H36" s="728">
        <f>11767.5-2</f>
        <v>11765.5</v>
      </c>
      <c r="I36" s="727">
        <f>H36</f>
        <v>11765.5</v>
      </c>
      <c r="J36" s="722"/>
      <c r="K36" s="1032">
        <f>H36/53</f>
        <v>221.99</v>
      </c>
      <c r="P36" s="551"/>
      <c r="Q36" s="552"/>
      <c r="S36" s="553"/>
    </row>
    <row r="37" spans="1:19" ht="45" x14ac:dyDescent="0.25">
      <c r="B37" s="707" t="s">
        <v>139</v>
      </c>
      <c r="C37" s="708" t="s">
        <v>0</v>
      </c>
      <c r="D37" s="708" t="s">
        <v>140</v>
      </c>
      <c r="E37" s="709"/>
      <c r="F37" s="710" t="s">
        <v>141</v>
      </c>
      <c r="G37" s="711">
        <f>35*340</f>
        <v>11900</v>
      </c>
      <c r="H37" s="711">
        <f>G37</f>
        <v>11900</v>
      </c>
      <c r="I37" s="712"/>
      <c r="J37" s="1148" t="s">
        <v>391</v>
      </c>
      <c r="K37" s="713" t="s">
        <v>142</v>
      </c>
      <c r="L37" s="460"/>
      <c r="M37" s="460"/>
      <c r="N37" s="460"/>
      <c r="P37" s="410"/>
      <c r="Q37" s="411"/>
      <c r="S37" s="411"/>
    </row>
    <row r="38" spans="1:19" x14ac:dyDescent="0.25">
      <c r="B38" s="714"/>
      <c r="C38" s="715"/>
      <c r="D38" s="715" t="s">
        <v>143</v>
      </c>
      <c r="E38" s="709"/>
      <c r="F38" s="716" t="s">
        <v>144</v>
      </c>
      <c r="G38" s="717">
        <f>16*400</f>
        <v>6400</v>
      </c>
      <c r="H38" s="717">
        <f>G38</f>
        <v>6400</v>
      </c>
      <c r="I38" s="718"/>
      <c r="J38" s="1149"/>
      <c r="K38" s="719"/>
      <c r="L38" s="460"/>
      <c r="M38" s="460"/>
      <c r="N38" s="460"/>
      <c r="P38" s="410"/>
      <c r="Q38" s="411"/>
      <c r="S38" s="411"/>
    </row>
    <row r="39" spans="1:19" x14ac:dyDescent="0.25">
      <c r="B39" s="450" t="s">
        <v>145</v>
      </c>
      <c r="C39" s="457" t="s">
        <v>146</v>
      </c>
      <c r="D39" s="457"/>
      <c r="E39" s="458"/>
      <c r="F39" s="459"/>
      <c r="G39" s="453"/>
      <c r="H39" s="453"/>
      <c r="I39" s="454"/>
      <c r="J39" s="455"/>
      <c r="K39" s="461"/>
      <c r="P39" s="410"/>
      <c r="Q39" s="411"/>
      <c r="S39" s="411"/>
    </row>
    <row r="40" spans="1:19" x14ac:dyDescent="0.25">
      <c r="B40" s="462"/>
      <c r="C40" s="463" t="s">
        <v>147</v>
      </c>
      <c r="D40" s="464"/>
      <c r="E40" s="465"/>
      <c r="F40" s="466"/>
      <c r="G40" s="467"/>
      <c r="H40" s="467"/>
      <c r="I40" s="468"/>
      <c r="J40" s="469"/>
      <c r="K40" s="470"/>
      <c r="P40" s="410"/>
      <c r="Q40" s="411"/>
      <c r="S40" s="411"/>
    </row>
    <row r="41" spans="1:19" ht="21.75" customHeight="1" thickBot="1" x14ac:dyDescent="0.3">
      <c r="B41" s="471"/>
      <c r="C41" s="472" t="s">
        <v>148</v>
      </c>
      <c r="D41" s="473" t="s">
        <v>103</v>
      </c>
      <c r="E41" s="474">
        <v>38609</v>
      </c>
      <c r="F41" s="475" t="s">
        <v>149</v>
      </c>
      <c r="G41" s="476">
        <v>1700</v>
      </c>
      <c r="H41" s="476">
        <f>G41</f>
        <v>1700</v>
      </c>
      <c r="I41" s="477">
        <v>1894</v>
      </c>
      <c r="J41" s="478"/>
      <c r="K41" s="479" t="s">
        <v>150</v>
      </c>
      <c r="P41" s="410"/>
      <c r="Q41" s="411"/>
      <c r="S41" s="411"/>
    </row>
    <row r="42" spans="1:19" x14ac:dyDescent="0.25">
      <c r="B42" s="480"/>
      <c r="C42" s="480"/>
      <c r="D42" s="481"/>
      <c r="E42" s="482"/>
      <c r="F42" s="483"/>
      <c r="G42" s="484"/>
      <c r="H42" s="484"/>
      <c r="I42" s="485"/>
      <c r="J42" s="486"/>
      <c r="K42" s="481"/>
      <c r="L42" s="427"/>
      <c r="M42" s="427"/>
      <c r="N42" s="427"/>
      <c r="O42" s="427"/>
      <c r="P42" s="487"/>
      <c r="Q42" s="411"/>
      <c r="S42" s="411"/>
    </row>
    <row r="43" spans="1:19" ht="15.75" thickBot="1" x14ac:dyDescent="0.3">
      <c r="B43" s="480"/>
      <c r="C43" s="480"/>
      <c r="D43" s="481"/>
      <c r="E43" s="482"/>
      <c r="F43" s="483"/>
      <c r="G43" s="484"/>
      <c r="H43" s="484"/>
      <c r="I43" s="485"/>
      <c r="J43" s="486"/>
      <c r="K43" s="481"/>
      <c r="L43" s="427"/>
      <c r="M43" s="427"/>
      <c r="N43" s="427"/>
      <c r="O43" s="427"/>
      <c r="P43" s="487"/>
      <c r="Q43" s="411"/>
      <c r="S43" s="411"/>
    </row>
    <row r="44" spans="1:19" s="378" customFormat="1" ht="75.75" thickBot="1" x14ac:dyDescent="0.3">
      <c r="B44" s="381" t="s">
        <v>82</v>
      </c>
      <c r="C44" s="382" t="s">
        <v>83</v>
      </c>
      <c r="D44" s="382" t="s">
        <v>84</v>
      </c>
      <c r="E44" s="382" t="s">
        <v>85</v>
      </c>
      <c r="F44" s="382" t="s">
        <v>86</v>
      </c>
      <c r="G44" s="383" t="s">
        <v>276</v>
      </c>
      <c r="H44" s="383" t="str">
        <f>H3</f>
        <v>Asset value</v>
      </c>
      <c r="I44" s="384" t="s">
        <v>87</v>
      </c>
      <c r="J44" s="382" t="s">
        <v>88</v>
      </c>
      <c r="K44" s="385" t="s">
        <v>89</v>
      </c>
      <c r="L44" s="386"/>
      <c r="M44" s="386"/>
      <c r="N44" s="386"/>
      <c r="P44" s="387"/>
      <c r="Q44" s="386"/>
      <c r="S44" s="386"/>
    </row>
    <row r="45" spans="1:19" ht="12.95" customHeight="1" x14ac:dyDescent="0.25">
      <c r="B45" s="488"/>
      <c r="C45" s="489" t="s">
        <v>151</v>
      </c>
      <c r="D45" s="490"/>
      <c r="E45" s="491"/>
      <c r="F45" s="689" t="s">
        <v>372</v>
      </c>
      <c r="G45" s="492"/>
      <c r="H45" s="492"/>
      <c r="I45" s="493"/>
      <c r="J45" s="494"/>
      <c r="K45" s="495"/>
      <c r="P45" s="410"/>
      <c r="Q45" s="411"/>
      <c r="S45" s="411"/>
    </row>
    <row r="46" spans="1:19" ht="12.95" customHeight="1" x14ac:dyDescent="0.25">
      <c r="B46" s="496"/>
      <c r="C46" s="497" t="s">
        <v>152</v>
      </c>
      <c r="D46" s="498" t="s">
        <v>153</v>
      </c>
      <c r="E46" s="499"/>
      <c r="F46" s="690"/>
      <c r="G46" s="500"/>
      <c r="H46" s="500"/>
      <c r="I46" s="501"/>
      <c r="J46" s="502">
        <v>39203</v>
      </c>
      <c r="K46" s="503" t="s">
        <v>154</v>
      </c>
      <c r="P46" s="434"/>
      <c r="Q46" s="411"/>
      <c r="S46" s="411"/>
    </row>
    <row r="47" spans="1:19" ht="12.95" customHeight="1" x14ac:dyDescent="0.25">
      <c r="B47" s="496"/>
      <c r="C47" s="504" t="s">
        <v>152</v>
      </c>
      <c r="D47" s="505"/>
      <c r="E47" s="506">
        <v>39211</v>
      </c>
      <c r="F47" s="690"/>
      <c r="G47" s="507">
        <v>4200</v>
      </c>
      <c r="H47" s="507">
        <f>G47</f>
        <v>4200</v>
      </c>
      <c r="I47" s="508"/>
      <c r="J47" s="509"/>
      <c r="K47" s="510"/>
      <c r="P47" s="434"/>
      <c r="Q47" s="411"/>
      <c r="S47" s="411"/>
    </row>
    <row r="48" spans="1:19" ht="12.95" customHeight="1" x14ac:dyDescent="0.25">
      <c r="B48" s="496"/>
      <c r="C48" s="511" t="s">
        <v>155</v>
      </c>
      <c r="D48" s="512"/>
      <c r="E48" s="513" t="s">
        <v>156</v>
      </c>
      <c r="F48" s="690"/>
      <c r="G48" s="514">
        <v>672</v>
      </c>
      <c r="H48" s="515">
        <f>G48</f>
        <v>672</v>
      </c>
      <c r="I48" s="516"/>
      <c r="J48" s="509"/>
      <c r="K48" s="510"/>
      <c r="P48" s="410"/>
      <c r="Q48" s="411"/>
      <c r="S48" s="411"/>
    </row>
    <row r="49" spans="2:19" ht="12.95" customHeight="1" x14ac:dyDescent="0.25">
      <c r="B49" s="496"/>
      <c r="C49" s="504" t="s">
        <v>157</v>
      </c>
      <c r="D49" s="517"/>
      <c r="E49" s="518" t="s">
        <v>158</v>
      </c>
      <c r="F49" s="690"/>
      <c r="G49" s="519">
        <v>907</v>
      </c>
      <c r="H49" s="507">
        <f>G49</f>
        <v>907</v>
      </c>
      <c r="I49" s="516"/>
      <c r="J49" s="509"/>
      <c r="K49" s="510"/>
      <c r="P49" s="410"/>
      <c r="Q49" s="411"/>
      <c r="S49" s="411"/>
    </row>
    <row r="50" spans="2:19" ht="12.95" customHeight="1" x14ac:dyDescent="0.25">
      <c r="B50" s="496"/>
      <c r="C50" s="511" t="s">
        <v>159</v>
      </c>
      <c r="D50" s="512"/>
      <c r="E50" s="520" t="s">
        <v>160</v>
      </c>
      <c r="F50" s="690"/>
      <c r="G50" s="514">
        <v>0</v>
      </c>
      <c r="H50" s="515">
        <f>G50</f>
        <v>0</v>
      </c>
      <c r="I50" s="516"/>
      <c r="J50" s="509"/>
      <c r="K50" s="510"/>
      <c r="P50" s="410"/>
      <c r="Q50" s="411"/>
      <c r="S50" s="411"/>
    </row>
    <row r="51" spans="2:19" ht="12.95" customHeight="1" x14ac:dyDescent="0.25">
      <c r="B51" s="496"/>
      <c r="C51" s="504" t="s">
        <v>161</v>
      </c>
      <c r="D51" s="517"/>
      <c r="E51" s="506"/>
      <c r="F51" s="690"/>
      <c r="G51" s="519">
        <v>1362</v>
      </c>
      <c r="H51" s="507">
        <f>G51</f>
        <v>1362</v>
      </c>
      <c r="I51" s="516"/>
      <c r="J51" s="509"/>
      <c r="K51" s="510"/>
      <c r="P51" s="410"/>
      <c r="Q51" s="411"/>
      <c r="S51" s="411"/>
    </row>
    <row r="52" spans="2:19" ht="12.95" hidden="1" customHeight="1" x14ac:dyDescent="0.25">
      <c r="B52" s="496"/>
      <c r="C52" s="511" t="s">
        <v>162</v>
      </c>
      <c r="D52" s="512"/>
      <c r="E52" s="1134" t="s">
        <v>163</v>
      </c>
      <c r="F52" s="690"/>
      <c r="G52" s="521">
        <v>4469</v>
      </c>
      <c r="H52" s="514">
        <v>0</v>
      </c>
      <c r="I52" s="522"/>
      <c r="J52" s="509" t="s">
        <v>275</v>
      </c>
      <c r="K52" s="510"/>
      <c r="P52" s="410"/>
      <c r="Q52" s="411"/>
      <c r="S52" s="411"/>
    </row>
    <row r="53" spans="2:19" ht="12.95" hidden="1" customHeight="1" x14ac:dyDescent="0.25">
      <c r="B53" s="496"/>
      <c r="C53" s="504" t="s">
        <v>164</v>
      </c>
      <c r="D53" s="517"/>
      <c r="E53" s="1134"/>
      <c r="F53" s="690"/>
      <c r="G53" s="523">
        <v>1173</v>
      </c>
      <c r="H53" s="519">
        <v>0</v>
      </c>
      <c r="I53" s="522"/>
      <c r="J53" s="509" t="s">
        <v>275</v>
      </c>
      <c r="K53" s="510"/>
      <c r="P53" s="410"/>
      <c r="Q53" s="411"/>
      <c r="S53" s="411"/>
    </row>
    <row r="54" spans="2:19" ht="12.95" hidden="1" customHeight="1" x14ac:dyDescent="0.25">
      <c r="B54" s="496"/>
      <c r="C54" s="511" t="s">
        <v>165</v>
      </c>
      <c r="D54" s="512"/>
      <c r="E54" s="1134"/>
      <c r="F54" s="690"/>
      <c r="G54" s="521">
        <v>602</v>
      </c>
      <c r="H54" s="514">
        <v>0</v>
      </c>
      <c r="I54" s="522"/>
      <c r="J54" s="509" t="s">
        <v>275</v>
      </c>
      <c r="K54" s="510"/>
      <c r="P54" s="410"/>
      <c r="Q54" s="411"/>
      <c r="S54" s="411"/>
    </row>
    <row r="55" spans="2:19" ht="12.95" hidden="1" customHeight="1" x14ac:dyDescent="0.25">
      <c r="B55" s="496"/>
      <c r="C55" s="504" t="s">
        <v>166</v>
      </c>
      <c r="D55" s="517"/>
      <c r="E55" s="1134"/>
      <c r="F55" s="690"/>
      <c r="G55" s="523"/>
      <c r="H55" s="523"/>
      <c r="I55" s="522"/>
      <c r="J55" s="509"/>
      <c r="K55" s="510" t="s">
        <v>167</v>
      </c>
      <c r="P55" s="410"/>
      <c r="Q55" s="411"/>
      <c r="S55" s="411"/>
    </row>
    <row r="56" spans="2:19" ht="12.95" customHeight="1" x14ac:dyDescent="0.25">
      <c r="B56" s="496"/>
      <c r="C56" s="511" t="s">
        <v>168</v>
      </c>
      <c r="D56" s="512"/>
      <c r="E56" s="1134"/>
      <c r="F56" s="690"/>
      <c r="G56" s="521">
        <v>722</v>
      </c>
      <c r="H56" s="521">
        <f>G56</f>
        <v>722</v>
      </c>
      <c r="I56" s="522"/>
      <c r="J56" s="509"/>
      <c r="K56" s="510"/>
      <c r="P56" s="410"/>
      <c r="Q56" s="411"/>
      <c r="S56" s="411"/>
    </row>
    <row r="57" spans="2:19" ht="12.95" hidden="1" customHeight="1" x14ac:dyDescent="0.25">
      <c r="B57" s="496"/>
      <c r="C57" s="504" t="s">
        <v>169</v>
      </c>
      <c r="D57" s="517"/>
      <c r="E57" s="1134"/>
      <c r="F57" s="690"/>
      <c r="G57" s="523">
        <v>4370</v>
      </c>
      <c r="H57" s="519">
        <v>0</v>
      </c>
      <c r="I57" s="522"/>
      <c r="J57" s="509" t="s">
        <v>275</v>
      </c>
      <c r="K57" s="524"/>
      <c r="P57" s="410"/>
      <c r="Q57" s="411"/>
      <c r="S57" s="411"/>
    </row>
    <row r="58" spans="2:19" ht="12.95" customHeight="1" x14ac:dyDescent="0.25">
      <c r="B58" s="496"/>
      <c r="C58" s="511" t="s">
        <v>170</v>
      </c>
      <c r="D58" s="512"/>
      <c r="E58" s="513">
        <v>38792</v>
      </c>
      <c r="F58" s="690"/>
      <c r="G58" s="521">
        <v>1468</v>
      </c>
      <c r="H58" s="521">
        <f>G58</f>
        <v>1468</v>
      </c>
      <c r="I58" s="522"/>
      <c r="J58" s="509"/>
      <c r="K58" s="524"/>
      <c r="P58" s="410"/>
      <c r="Q58" s="411"/>
      <c r="S58" s="411"/>
    </row>
    <row r="59" spans="2:19" ht="12.95" customHeight="1" x14ac:dyDescent="0.25">
      <c r="B59" s="496"/>
      <c r="C59" s="504" t="s">
        <v>81</v>
      </c>
      <c r="D59" s="517"/>
      <c r="E59" s="513"/>
      <c r="F59" s="690"/>
      <c r="G59" s="523">
        <v>5400</v>
      </c>
      <c r="H59" s="523">
        <f>G59</f>
        <v>5400</v>
      </c>
      <c r="I59" s="522"/>
      <c r="J59" s="509"/>
      <c r="K59" s="524"/>
      <c r="P59" s="410"/>
      <c r="Q59" s="411"/>
      <c r="S59" s="411"/>
    </row>
    <row r="60" spans="2:19" ht="12.95" customHeight="1" x14ac:dyDescent="0.25">
      <c r="B60" s="496"/>
      <c r="C60" s="511" t="s">
        <v>277</v>
      </c>
      <c r="D60" s="512" t="s">
        <v>278</v>
      </c>
      <c r="E60" s="525">
        <v>42644</v>
      </c>
      <c r="F60" s="690"/>
      <c r="G60" s="521"/>
      <c r="H60" s="521">
        <v>2853</v>
      </c>
      <c r="I60" s="522"/>
      <c r="J60" s="509"/>
      <c r="K60" s="524"/>
      <c r="P60" s="410"/>
      <c r="Q60" s="411"/>
      <c r="S60" s="411"/>
    </row>
    <row r="61" spans="2:19" ht="12.95" customHeight="1" x14ac:dyDescent="0.25">
      <c r="B61" s="496"/>
      <c r="C61" s="504" t="s">
        <v>279</v>
      </c>
      <c r="D61" s="517" t="s">
        <v>280</v>
      </c>
      <c r="E61" s="526">
        <v>42644</v>
      </c>
      <c r="F61" s="690"/>
      <c r="G61" s="523"/>
      <c r="H61" s="523">
        <v>1621</v>
      </c>
      <c r="I61" s="522"/>
      <c r="J61" s="509"/>
      <c r="K61" s="524"/>
      <c r="P61" s="410"/>
      <c r="Q61" s="411"/>
      <c r="S61" s="411"/>
    </row>
    <row r="62" spans="2:19" ht="12.95" customHeight="1" x14ac:dyDescent="0.25">
      <c r="B62" s="496"/>
      <c r="C62" s="511" t="s">
        <v>281</v>
      </c>
      <c r="D62" s="512" t="s">
        <v>282</v>
      </c>
      <c r="E62" s="525">
        <v>42644</v>
      </c>
      <c r="F62" s="690"/>
      <c r="G62" s="521"/>
      <c r="H62" s="521">
        <v>7620</v>
      </c>
      <c r="I62" s="522"/>
      <c r="J62" s="509"/>
      <c r="K62" s="524"/>
      <c r="P62" s="410"/>
      <c r="Q62" s="411"/>
      <c r="S62" s="411"/>
    </row>
    <row r="63" spans="2:19" ht="12.95" customHeight="1" x14ac:dyDescent="0.25">
      <c r="B63" s="496"/>
      <c r="C63" s="504" t="s">
        <v>284</v>
      </c>
      <c r="D63" s="517" t="s">
        <v>283</v>
      </c>
      <c r="E63" s="526">
        <v>42644</v>
      </c>
      <c r="F63" s="690"/>
      <c r="G63" s="523"/>
      <c r="H63" s="523">
        <v>4366</v>
      </c>
      <c r="I63" s="522"/>
      <c r="J63" s="509"/>
      <c r="K63" s="524"/>
      <c r="P63" s="410"/>
      <c r="Q63" s="411"/>
      <c r="S63" s="411"/>
    </row>
    <row r="64" spans="2:19" ht="12.95" customHeight="1" x14ac:dyDescent="0.25">
      <c r="B64" s="496"/>
      <c r="C64" s="511" t="s">
        <v>285</v>
      </c>
      <c r="D64" s="512" t="s">
        <v>286</v>
      </c>
      <c r="E64" s="525">
        <v>42644</v>
      </c>
      <c r="F64" s="690"/>
      <c r="G64" s="521"/>
      <c r="H64" s="521">
        <v>5395</v>
      </c>
      <c r="I64" s="522"/>
      <c r="J64" s="509"/>
      <c r="K64" s="524"/>
      <c r="P64" s="410"/>
      <c r="Q64" s="411"/>
      <c r="S64" s="411"/>
    </row>
    <row r="65" spans="2:19" ht="12.95" customHeight="1" x14ac:dyDescent="0.25">
      <c r="B65" s="496"/>
      <c r="C65" s="504" t="s">
        <v>287</v>
      </c>
      <c r="D65" s="517" t="s">
        <v>288</v>
      </c>
      <c r="E65" s="526">
        <v>42644</v>
      </c>
      <c r="F65" s="690"/>
      <c r="G65" s="523"/>
      <c r="H65" s="523">
        <v>737</v>
      </c>
      <c r="I65" s="522"/>
      <c r="J65" s="509"/>
      <c r="K65" s="524"/>
      <c r="P65" s="410"/>
      <c r="Q65" s="411"/>
      <c r="S65" s="411"/>
    </row>
    <row r="66" spans="2:19" ht="12.95" customHeight="1" x14ac:dyDescent="0.25">
      <c r="B66" s="496"/>
      <c r="C66" s="547" t="s">
        <v>327</v>
      </c>
      <c r="D66" s="498" t="s">
        <v>328</v>
      </c>
      <c r="E66" s="548">
        <v>43525</v>
      </c>
      <c r="F66" s="690"/>
      <c r="G66" s="521"/>
      <c r="H66" s="568">
        <v>5615</v>
      </c>
      <c r="I66" s="522"/>
      <c r="J66" s="509"/>
      <c r="K66" s="524" t="s">
        <v>392</v>
      </c>
      <c r="P66" s="410"/>
      <c r="Q66" s="411"/>
      <c r="S66" s="411"/>
    </row>
    <row r="67" spans="2:19" ht="12.95" customHeight="1" x14ac:dyDescent="0.25">
      <c r="B67" s="687"/>
      <c r="C67" s="731" t="s">
        <v>234</v>
      </c>
      <c r="D67" s="688"/>
      <c r="E67" s="548"/>
      <c r="F67" s="690"/>
      <c r="G67" s="523">
        <v>550</v>
      </c>
      <c r="H67" s="523">
        <f>G67</f>
        <v>550</v>
      </c>
      <c r="I67" s="522">
        <f>SUM(H47:H67)</f>
        <v>43488</v>
      </c>
      <c r="J67" s="509"/>
      <c r="K67" s="524"/>
      <c r="P67" s="410"/>
      <c r="Q67" s="411"/>
      <c r="S67" s="411"/>
    </row>
    <row r="68" spans="2:19" ht="12.95" customHeight="1" x14ac:dyDescent="0.25">
      <c r="B68" s="1139" t="s">
        <v>374</v>
      </c>
      <c r="C68" s="729" t="s">
        <v>373</v>
      </c>
      <c r="D68" s="1143" t="s">
        <v>370</v>
      </c>
      <c r="E68" s="1141">
        <v>44256</v>
      </c>
      <c r="F68" s="1145" t="s">
        <v>376</v>
      </c>
      <c r="G68" s="691"/>
      <c r="H68" s="732">
        <f>1011.45+170+30+65.64+45</f>
        <v>1322.09</v>
      </c>
      <c r="I68" s="523"/>
      <c r="J68" s="692"/>
      <c r="K68" s="693"/>
      <c r="P68" s="410"/>
      <c r="Q68" s="411"/>
      <c r="S68" s="411"/>
    </row>
    <row r="69" spans="2:19" ht="12.95" customHeight="1" x14ac:dyDescent="0.25">
      <c r="B69" s="1139"/>
      <c r="C69" s="729" t="s">
        <v>375</v>
      </c>
      <c r="D69" s="1143"/>
      <c r="E69" s="1141"/>
      <c r="F69" s="1145"/>
      <c r="G69" s="691"/>
      <c r="H69" s="732">
        <f>1060.9+170+30+65.65+45</f>
        <v>1371.55</v>
      </c>
      <c r="I69" s="523"/>
      <c r="J69" s="692"/>
      <c r="K69" s="693"/>
      <c r="P69" s="410"/>
      <c r="Q69" s="411"/>
      <c r="S69" s="411"/>
    </row>
    <row r="70" spans="2:19" ht="12.95" customHeight="1" x14ac:dyDescent="0.25">
      <c r="B70" s="1139"/>
      <c r="C70" s="729" t="s">
        <v>377</v>
      </c>
      <c r="D70" s="1143"/>
      <c r="E70" s="1141"/>
      <c r="F70" s="1145"/>
      <c r="G70" s="691"/>
      <c r="H70" s="732">
        <f>885.58+170+65.64+30+45</f>
        <v>1196.22</v>
      </c>
      <c r="I70" s="523"/>
      <c r="J70" s="692"/>
      <c r="K70" s="693"/>
      <c r="P70" s="410"/>
      <c r="Q70" s="411"/>
      <c r="S70" s="411"/>
    </row>
    <row r="71" spans="2:19" ht="12.95" customHeight="1" x14ac:dyDescent="0.25">
      <c r="B71" s="1139"/>
      <c r="C71" s="729" t="s">
        <v>378</v>
      </c>
      <c r="D71" s="1143"/>
      <c r="E71" s="1141"/>
      <c r="F71" s="1145"/>
      <c r="G71" s="691"/>
      <c r="H71" s="732">
        <f>2027.4+170+64.64+30+45</f>
        <v>2337.04</v>
      </c>
      <c r="I71" s="523"/>
      <c r="J71" s="692"/>
      <c r="K71" s="693"/>
      <c r="P71" s="410"/>
      <c r="Q71" s="411"/>
      <c r="S71" s="411"/>
    </row>
    <row r="72" spans="2:19" ht="12.95" customHeight="1" x14ac:dyDescent="0.25">
      <c r="B72" s="1139"/>
      <c r="C72" s="729" t="s">
        <v>379</v>
      </c>
      <c r="D72" s="1143"/>
      <c r="E72" s="1141"/>
      <c r="F72" s="1145"/>
      <c r="G72" s="691"/>
      <c r="H72" s="732">
        <f>678.8+170+60+131.28+90</f>
        <v>1130.08</v>
      </c>
      <c r="I72" s="523"/>
      <c r="J72" s="692"/>
      <c r="K72" s="693"/>
      <c r="P72" s="410"/>
      <c r="Q72" s="411"/>
      <c r="S72" s="411"/>
    </row>
    <row r="73" spans="2:19" ht="12.95" customHeight="1" x14ac:dyDescent="0.25">
      <c r="B73" s="1139"/>
      <c r="C73" s="729" t="s">
        <v>380</v>
      </c>
      <c r="D73" s="1143"/>
      <c r="E73" s="1141"/>
      <c r="F73" s="1145"/>
      <c r="G73" s="691"/>
      <c r="H73" s="732">
        <f>678.8+170+30+65.64+45</f>
        <v>989.44</v>
      </c>
      <c r="I73" s="523"/>
      <c r="J73" s="692"/>
      <c r="K73" s="693"/>
      <c r="P73" s="410"/>
      <c r="Q73" s="411"/>
      <c r="S73" s="411"/>
    </row>
    <row r="74" spans="2:19" ht="12.95" customHeight="1" x14ac:dyDescent="0.25">
      <c r="B74" s="1139"/>
      <c r="C74" s="729" t="s">
        <v>381</v>
      </c>
      <c r="D74" s="1143"/>
      <c r="E74" s="1141"/>
      <c r="F74" s="1145"/>
      <c r="G74" s="691"/>
      <c r="H74" s="732">
        <f>1044.45+170+60+131.28+90</f>
        <v>1495.73</v>
      </c>
      <c r="I74" s="523"/>
      <c r="J74" s="692"/>
      <c r="K74" s="693"/>
      <c r="P74" s="410"/>
      <c r="Q74" s="411"/>
      <c r="S74" s="411"/>
    </row>
    <row r="75" spans="2:19" x14ac:dyDescent="0.25">
      <c r="B75" s="1140"/>
      <c r="C75" s="730" t="s">
        <v>382</v>
      </c>
      <c r="D75" s="1144"/>
      <c r="E75" s="1142"/>
      <c r="F75" s="1146"/>
      <c r="G75" s="694"/>
      <c r="H75" s="694">
        <f>234+664.32+103+78+90</f>
        <v>1169.32</v>
      </c>
      <c r="I75" s="694">
        <f>SUM(H68:H75)</f>
        <v>11011.47</v>
      </c>
      <c r="J75" s="695"/>
      <c r="K75" s="696"/>
      <c r="L75" s="427"/>
      <c r="P75" s="410"/>
      <c r="Q75" s="411"/>
      <c r="S75" s="411"/>
    </row>
    <row r="76" spans="2:19" x14ac:dyDescent="0.25">
      <c r="B76" s="425"/>
      <c r="C76" s="412" t="s">
        <v>171</v>
      </c>
      <c r="D76" s="527"/>
      <c r="E76" s="528"/>
      <c r="F76" s="529"/>
      <c r="G76" s="406"/>
      <c r="H76" s="406"/>
      <c r="I76" s="407"/>
      <c r="J76" s="405"/>
      <c r="K76" s="530"/>
      <c r="P76" s="434"/>
      <c r="Q76" s="411"/>
      <c r="S76" s="411"/>
    </row>
    <row r="77" spans="2:19" x14ac:dyDescent="0.25">
      <c r="B77" s="402"/>
      <c r="C77" s="403" t="s">
        <v>172</v>
      </c>
      <c r="D77" s="531"/>
      <c r="E77" s="532"/>
      <c r="F77" s="529"/>
      <c r="G77" s="406"/>
      <c r="H77" s="406"/>
      <c r="I77" s="407"/>
      <c r="J77" s="405"/>
      <c r="K77" s="408" t="s">
        <v>173</v>
      </c>
      <c r="P77" s="434"/>
      <c r="Q77" s="411"/>
      <c r="S77" s="411"/>
    </row>
    <row r="78" spans="2:19" x14ac:dyDescent="0.25">
      <c r="B78" s="402"/>
      <c r="C78" s="403" t="s">
        <v>174</v>
      </c>
      <c r="D78" s="527">
        <v>39646</v>
      </c>
      <c r="E78" s="532"/>
      <c r="F78" s="529"/>
      <c r="G78" s="406">
        <v>48</v>
      </c>
      <c r="H78" s="406">
        <v>48</v>
      </c>
      <c r="I78" s="407"/>
      <c r="J78" s="405"/>
      <c r="K78" s="408"/>
      <c r="P78" s="434"/>
      <c r="Q78" s="411"/>
      <c r="S78" s="411"/>
    </row>
    <row r="79" spans="2:19" x14ac:dyDescent="0.25">
      <c r="B79" s="402"/>
      <c r="C79" s="403" t="s">
        <v>175</v>
      </c>
      <c r="D79" s="527">
        <v>39646</v>
      </c>
      <c r="E79" s="532"/>
      <c r="F79" s="529"/>
      <c r="G79" s="406">
        <v>30</v>
      </c>
      <c r="H79" s="406">
        <v>0</v>
      </c>
      <c r="I79" s="407"/>
      <c r="J79" s="405" t="s">
        <v>289</v>
      </c>
      <c r="K79" s="408"/>
      <c r="P79" s="434"/>
      <c r="Q79" s="411"/>
      <c r="S79" s="411"/>
    </row>
    <row r="80" spans="2:19" ht="15.75" customHeight="1" x14ac:dyDescent="0.25">
      <c r="B80" s="402"/>
      <c r="C80" s="403" t="s">
        <v>176</v>
      </c>
      <c r="D80" s="527">
        <v>39646</v>
      </c>
      <c r="E80" s="532"/>
      <c r="F80" s="529"/>
      <c r="G80" s="406">
        <v>21</v>
      </c>
      <c r="H80" s="406"/>
      <c r="I80" s="407"/>
      <c r="J80" s="405"/>
      <c r="K80" s="408"/>
      <c r="P80" s="410"/>
      <c r="Q80" s="411"/>
      <c r="S80" s="411"/>
    </row>
    <row r="81" spans="2:19" x14ac:dyDescent="0.25">
      <c r="B81" s="402"/>
      <c r="C81" s="403" t="s">
        <v>177</v>
      </c>
      <c r="D81" s="527">
        <v>37823</v>
      </c>
      <c r="E81" s="528"/>
      <c r="F81" s="529"/>
      <c r="G81" s="406">
        <v>343</v>
      </c>
      <c r="H81" s="406">
        <v>343</v>
      </c>
      <c r="I81" s="407"/>
      <c r="J81" s="405"/>
      <c r="K81" s="1135"/>
      <c r="P81" s="410"/>
      <c r="Q81" s="411"/>
      <c r="S81" s="411"/>
    </row>
    <row r="82" spans="2:19" x14ac:dyDescent="0.25">
      <c r="B82" s="533"/>
      <c r="C82" s="534" t="s">
        <v>178</v>
      </c>
      <c r="D82" s="535">
        <v>38460</v>
      </c>
      <c r="E82" s="536"/>
      <c r="F82" s="537"/>
      <c r="G82" s="406">
        <v>400</v>
      </c>
      <c r="H82" s="406">
        <v>400</v>
      </c>
      <c r="I82" s="538">
        <v>799</v>
      </c>
      <c r="J82" s="420"/>
      <c r="K82" s="1136"/>
      <c r="P82" s="410"/>
      <c r="Q82" s="411"/>
      <c r="S82" s="411"/>
    </row>
    <row r="83" spans="2:19" x14ac:dyDescent="0.25">
      <c r="B83" s="462"/>
      <c r="C83" s="463" t="s">
        <v>179</v>
      </c>
      <c r="D83" s="539"/>
      <c r="E83" s="540"/>
      <c r="F83" s="541"/>
      <c r="G83" s="415"/>
      <c r="H83" s="415"/>
      <c r="I83" s="468"/>
      <c r="J83" s="542"/>
      <c r="K83" s="470"/>
      <c r="P83" s="434"/>
      <c r="Q83" s="411"/>
      <c r="S83" s="411"/>
    </row>
    <row r="84" spans="2:19" x14ac:dyDescent="0.25">
      <c r="B84" s="687"/>
      <c r="C84" s="748"/>
      <c r="D84" s="747"/>
      <c r="E84" s="738"/>
      <c r="F84" s="739"/>
      <c r="G84" s="445"/>
      <c r="H84" s="445"/>
      <c r="I84" s="1137"/>
      <c r="J84" s="721"/>
      <c r="K84" s="740"/>
      <c r="P84" s="434"/>
      <c r="Q84" s="411"/>
      <c r="S84" s="411"/>
    </row>
    <row r="85" spans="2:19" x14ac:dyDescent="0.25">
      <c r="B85" s="496"/>
      <c r="C85" s="748" t="s">
        <v>395</v>
      </c>
      <c r="D85" s="737"/>
      <c r="E85" s="738"/>
      <c r="F85" s="739"/>
      <c r="G85" s="445"/>
      <c r="H85" s="445"/>
      <c r="I85" s="1137"/>
      <c r="J85" s="721"/>
      <c r="K85" s="740"/>
      <c r="P85" s="410"/>
      <c r="Q85" s="411"/>
      <c r="S85" s="411"/>
    </row>
    <row r="86" spans="2:19" x14ac:dyDescent="0.25">
      <c r="B86" s="496"/>
      <c r="C86" s="511" t="s">
        <v>396</v>
      </c>
      <c r="D86" s="737"/>
      <c r="E86" s="738"/>
      <c r="F86" s="739"/>
      <c r="G86" s="445"/>
      <c r="H86" s="445">
        <v>53</v>
      </c>
      <c r="I86" s="1137"/>
      <c r="J86" s="721"/>
      <c r="K86" s="740"/>
      <c r="P86" s="410"/>
      <c r="Q86" s="411"/>
      <c r="S86" s="411"/>
    </row>
    <row r="87" spans="2:19" x14ac:dyDescent="0.25">
      <c r="B87" s="496"/>
      <c r="C87" s="511" t="s">
        <v>397</v>
      </c>
      <c r="D87" s="737"/>
      <c r="E87" s="738"/>
      <c r="F87" s="739"/>
      <c r="G87" s="445"/>
      <c r="H87" s="445">
        <v>18.95</v>
      </c>
      <c r="I87" s="1137"/>
      <c r="J87" s="721"/>
      <c r="K87" s="740"/>
      <c r="P87" s="410"/>
      <c r="Q87" s="411"/>
      <c r="S87" s="411"/>
    </row>
    <row r="88" spans="2:19" x14ac:dyDescent="0.25">
      <c r="B88" s="496"/>
      <c r="C88" s="511" t="s">
        <v>398</v>
      </c>
      <c r="D88" s="737"/>
      <c r="E88" s="738"/>
      <c r="F88" s="739"/>
      <c r="G88" s="445"/>
      <c r="H88" s="445">
        <v>9.99</v>
      </c>
      <c r="I88" s="1137"/>
      <c r="J88" s="721"/>
      <c r="K88" s="740"/>
      <c r="P88" s="410"/>
      <c r="Q88" s="411"/>
      <c r="S88" s="411"/>
    </row>
    <row r="89" spans="2:19" x14ac:dyDescent="0.25">
      <c r="B89" s="496"/>
      <c r="C89" s="511" t="s">
        <v>396</v>
      </c>
      <c r="D89" s="737"/>
      <c r="E89" s="738"/>
      <c r="F89" s="739"/>
      <c r="G89" s="445"/>
      <c r="H89" s="445">
        <v>38.65</v>
      </c>
      <c r="I89" s="1137"/>
      <c r="J89" s="721"/>
      <c r="K89" s="740"/>
      <c r="P89" s="410"/>
      <c r="Q89" s="411"/>
      <c r="S89" s="411"/>
    </row>
    <row r="90" spans="2:19" ht="15" customHeight="1" x14ac:dyDescent="0.25">
      <c r="B90" s="496"/>
      <c r="C90" s="547" t="s">
        <v>399</v>
      </c>
      <c r="D90" s="498"/>
      <c r="E90" s="738"/>
      <c r="F90" s="739"/>
      <c r="G90" s="445"/>
      <c r="H90" s="445">
        <v>51.31</v>
      </c>
      <c r="I90" s="1137"/>
      <c r="J90" s="721"/>
      <c r="K90" s="503"/>
      <c r="P90" s="410"/>
      <c r="Q90" s="543"/>
      <c r="S90" s="411"/>
    </row>
    <row r="91" spans="2:19" ht="10.5" customHeight="1" thickBot="1" x14ac:dyDescent="0.3">
      <c r="B91" s="471"/>
      <c r="C91" s="741"/>
      <c r="D91" s="742"/>
      <c r="E91" s="743"/>
      <c r="F91" s="744"/>
      <c r="G91" s="745"/>
      <c r="H91" s="745"/>
      <c r="I91" s="1138"/>
      <c r="J91" s="745"/>
      <c r="K91" s="746"/>
      <c r="P91" s="410"/>
      <c r="Q91" s="411"/>
      <c r="S91" s="411"/>
    </row>
    <row r="92" spans="2:19" x14ac:dyDescent="0.25">
      <c r="B92" s="411"/>
      <c r="D92" s="410"/>
      <c r="G92" s="544">
        <f>SUM(G4:G91)</f>
        <v>153196.54</v>
      </c>
      <c r="H92" s="544">
        <f>SUM(H4:H91)</f>
        <v>219835.41</v>
      </c>
      <c r="I92" s="545"/>
      <c r="J92" s="378"/>
      <c r="P92" s="410"/>
      <c r="Q92" s="411"/>
    </row>
    <row r="93" spans="2:19" x14ac:dyDescent="0.25">
      <c r="D93" s="410"/>
      <c r="G93" s="379" t="e">
        <f>#REF!-G92</f>
        <v>#REF!</v>
      </c>
      <c r="J93" s="378"/>
      <c r="P93" s="410"/>
      <c r="Q93" s="411"/>
    </row>
    <row r="94" spans="2:19" x14ac:dyDescent="0.25">
      <c r="D94" s="410"/>
      <c r="J94" s="378"/>
      <c r="P94" s="410"/>
    </row>
    <row r="95" spans="2:19" x14ac:dyDescent="0.25">
      <c r="E95" s="546"/>
      <c r="J95" s="378"/>
      <c r="P95" s="410"/>
    </row>
    <row r="96" spans="2:19" x14ac:dyDescent="0.25">
      <c r="E96" s="410"/>
      <c r="J96" s="378"/>
      <c r="P96" s="410"/>
    </row>
    <row r="97" spans="5:16" x14ac:dyDescent="0.25">
      <c r="E97" s="410"/>
      <c r="J97" s="378"/>
      <c r="P97" s="410"/>
    </row>
    <row r="98" spans="5:16" x14ac:dyDescent="0.25">
      <c r="E98" s="410"/>
      <c r="J98" s="378"/>
      <c r="P98" s="410"/>
    </row>
    <row r="99" spans="5:16" x14ac:dyDescent="0.25">
      <c r="E99" s="410"/>
      <c r="J99" s="378"/>
      <c r="P99" s="410"/>
    </row>
    <row r="100" spans="5:16" x14ac:dyDescent="0.25">
      <c r="J100" s="378"/>
      <c r="P100" s="410"/>
    </row>
    <row r="101" spans="5:16" x14ac:dyDescent="0.25">
      <c r="J101" s="378"/>
      <c r="P101" s="410"/>
    </row>
    <row r="102" spans="5:16" x14ac:dyDescent="0.25">
      <c r="J102" s="378"/>
      <c r="P102" s="410"/>
    </row>
    <row r="103" spans="5:16" x14ac:dyDescent="0.25">
      <c r="J103" s="378"/>
      <c r="P103" s="410"/>
    </row>
    <row r="104" spans="5:16" x14ac:dyDescent="0.25">
      <c r="J104" s="378"/>
      <c r="P104" s="410"/>
    </row>
    <row r="105" spans="5:16" x14ac:dyDescent="0.25">
      <c r="J105" s="378"/>
      <c r="P105" s="410"/>
    </row>
    <row r="106" spans="5:16" x14ac:dyDescent="0.25">
      <c r="J106" s="378"/>
      <c r="P106" s="410"/>
    </row>
    <row r="107" spans="5:16" x14ac:dyDescent="0.25">
      <c r="J107" s="378"/>
      <c r="P107" s="410"/>
    </row>
    <row r="108" spans="5:16" x14ac:dyDescent="0.25">
      <c r="J108" s="378"/>
      <c r="P108" s="410"/>
    </row>
    <row r="109" spans="5:16" x14ac:dyDescent="0.25">
      <c r="J109" s="378"/>
      <c r="P109" s="410"/>
    </row>
    <row r="110" spans="5:16" x14ac:dyDescent="0.25">
      <c r="P110" s="410"/>
    </row>
    <row r="111" spans="5:16" x14ac:dyDescent="0.25">
      <c r="P111" s="410"/>
    </row>
    <row r="112" spans="5:16" x14ac:dyDescent="0.25">
      <c r="P112" s="410"/>
    </row>
    <row r="113" spans="16:16" x14ac:dyDescent="0.25">
      <c r="P113" s="410"/>
    </row>
    <row r="114" spans="16:16" x14ac:dyDescent="0.25">
      <c r="P114" s="410"/>
    </row>
    <row r="115" spans="16:16" x14ac:dyDescent="0.25">
      <c r="P115" s="410"/>
    </row>
    <row r="116" spans="16:16" x14ac:dyDescent="0.25">
      <c r="P116" s="410"/>
    </row>
    <row r="117" spans="16:16" x14ac:dyDescent="0.25">
      <c r="P117" s="410"/>
    </row>
    <row r="118" spans="16:16" x14ac:dyDescent="0.25">
      <c r="P118" s="410"/>
    </row>
    <row r="119" spans="16:16" x14ac:dyDescent="0.25">
      <c r="P119" s="410"/>
    </row>
    <row r="120" spans="16:16" x14ac:dyDescent="0.25">
      <c r="P120" s="410"/>
    </row>
    <row r="121" spans="16:16" x14ac:dyDescent="0.25">
      <c r="P121" s="410"/>
    </row>
    <row r="122" spans="16:16" x14ac:dyDescent="0.25">
      <c r="P122" s="410"/>
    </row>
    <row r="123" spans="16:16" x14ac:dyDescent="0.25">
      <c r="P123" s="410"/>
    </row>
    <row r="124" spans="16:16" x14ac:dyDescent="0.25">
      <c r="P124" s="410"/>
    </row>
    <row r="125" spans="16:16" x14ac:dyDescent="0.25">
      <c r="P125" s="410"/>
    </row>
    <row r="126" spans="16:16" x14ac:dyDescent="0.25">
      <c r="P126" s="410"/>
    </row>
    <row r="127" spans="16:16" x14ac:dyDescent="0.25">
      <c r="P127" s="410"/>
    </row>
    <row r="128" spans="16:16" x14ac:dyDescent="0.25">
      <c r="P128" s="410"/>
    </row>
    <row r="129" spans="16:16" x14ac:dyDescent="0.25">
      <c r="P129" s="410"/>
    </row>
    <row r="130" spans="16:16" x14ac:dyDescent="0.25">
      <c r="P130" s="410"/>
    </row>
    <row r="131" spans="16:16" x14ac:dyDescent="0.25">
      <c r="P131" s="410"/>
    </row>
    <row r="132" spans="16:16" x14ac:dyDescent="0.25">
      <c r="P132" s="410"/>
    </row>
    <row r="133" spans="16:16" x14ac:dyDescent="0.25">
      <c r="P133" s="410"/>
    </row>
  </sheetData>
  <sheetProtection algorithmName="SHA-512" hashValue="2sq4RmpQEuvFCC2U87Iz30tbr3Xc/BchdNwdRMbxULuEjYsuGZRF7VDFZ4kLa1opLE04vUsKk/wEmYOmGABTfw==" saltValue="jx2sKWnZAtjcv/8ICNFsWQ==" spinCount="100000" sheet="1" objects="1" scenarios="1"/>
  <mergeCells count="19">
    <mergeCell ref="O2:P2"/>
    <mergeCell ref="J37:J38"/>
    <mergeCell ref="B7:B8"/>
    <mergeCell ref="D7:D8"/>
    <mergeCell ref="K7:K8"/>
    <mergeCell ref="K10:K11"/>
    <mergeCell ref="K12:K18"/>
    <mergeCell ref="G12:G18"/>
    <mergeCell ref="H12:H18"/>
    <mergeCell ref="E20:E24"/>
    <mergeCell ref="E25:E26"/>
    <mergeCell ref="C20:C26"/>
    <mergeCell ref="E52:E57"/>
    <mergeCell ref="K81:K82"/>
    <mergeCell ref="I84:I91"/>
    <mergeCell ref="B68:B75"/>
    <mergeCell ref="E68:E75"/>
    <mergeCell ref="D68:D75"/>
    <mergeCell ref="F68:F75"/>
  </mergeCells>
  <printOptions horizontalCentered="1" verticalCentered="1"/>
  <pageMargins left="0" right="0" top="1.3779527559055118" bottom="1.1811023622047245" header="0.51181102362204722" footer="0.51181102362204722"/>
  <pageSetup paperSize="9" scale="55" fitToHeight="2" orientation="landscape" horizontalDpi="300" verticalDpi="300" r:id="rId1"/>
  <headerFooter alignWithMargins="0">
    <oddHeader>&amp;LAccounts for Audit y/e 31 March 2020&amp;CNassington Parish Council 
&amp;"Arial,Bold"ASSET REGISTER&amp;RPage &amp;P of &amp;N</oddHeader>
    <oddFooter>&amp;R&amp;F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J67"/>
  <sheetViews>
    <sheetView showGridLines="0" topLeftCell="A35" workbookViewId="0">
      <selection activeCell="E22" sqref="E22"/>
    </sheetView>
  </sheetViews>
  <sheetFormatPr defaultRowHeight="12.75" x14ac:dyDescent="0.2"/>
  <cols>
    <col min="2" max="2" width="15" style="134" customWidth="1"/>
    <col min="3" max="3" width="23" style="134" customWidth="1"/>
    <col min="4" max="4" width="26.7109375" style="134" customWidth="1"/>
    <col min="5" max="5" width="18.5703125" customWidth="1"/>
    <col min="6" max="6" width="18" style="2" customWidth="1"/>
  </cols>
  <sheetData>
    <row r="2" spans="1:10" ht="4.5" customHeight="1" x14ac:dyDescent="0.2"/>
    <row r="5" spans="1:10" ht="9" customHeight="1" x14ac:dyDescent="0.2"/>
    <row r="6" spans="1:10" ht="10.5" customHeight="1" x14ac:dyDescent="0.2"/>
    <row r="7" spans="1:10" ht="25.5" x14ac:dyDescent="0.2">
      <c r="B7" s="139" t="s">
        <v>215</v>
      </c>
      <c r="C7" s="140" t="s">
        <v>216</v>
      </c>
      <c r="D7" s="139" t="s">
        <v>217</v>
      </c>
      <c r="E7" s="141" t="s">
        <v>218</v>
      </c>
      <c r="F7" s="155" t="s">
        <v>219</v>
      </c>
    </row>
    <row r="8" spans="1:10" ht="25.5" customHeight="1" x14ac:dyDescent="0.2">
      <c r="B8" s="144">
        <v>44106</v>
      </c>
      <c r="C8" s="1029" t="s">
        <v>595</v>
      </c>
      <c r="D8" s="158" t="s">
        <v>602</v>
      </c>
      <c r="E8" s="142" t="s">
        <v>592</v>
      </c>
      <c r="F8" s="157">
        <v>33.01</v>
      </c>
    </row>
    <row r="9" spans="1:10" ht="25.5" customHeight="1" x14ac:dyDescent="0.2">
      <c r="B9" s="144">
        <v>44258</v>
      </c>
      <c r="C9" s="1029" t="s">
        <v>595</v>
      </c>
      <c r="D9" s="158" t="s">
        <v>602</v>
      </c>
      <c r="E9" s="142" t="s">
        <v>592</v>
      </c>
      <c r="F9" s="157">
        <v>33.01</v>
      </c>
    </row>
    <row r="10" spans="1:10" ht="25.5" customHeight="1" x14ac:dyDescent="0.2">
      <c r="A10" s="136"/>
      <c r="B10" s="144">
        <v>44292</v>
      </c>
      <c r="C10" s="1029" t="s">
        <v>590</v>
      </c>
      <c r="D10" s="156" t="s">
        <v>591</v>
      </c>
      <c r="E10" s="142" t="s">
        <v>592</v>
      </c>
      <c r="F10" s="157">
        <v>33.619999999999997</v>
      </c>
      <c r="J10" s="143"/>
    </row>
    <row r="11" spans="1:10" ht="25.5" customHeight="1" x14ac:dyDescent="0.2">
      <c r="B11" s="144">
        <v>44302</v>
      </c>
      <c r="C11" s="1029" t="s">
        <v>600</v>
      </c>
      <c r="D11" s="158" t="s">
        <v>298</v>
      </c>
      <c r="E11" s="142" t="s">
        <v>592</v>
      </c>
      <c r="F11" s="157">
        <v>29.8</v>
      </c>
    </row>
    <row r="12" spans="1:10" ht="25.5" customHeight="1" x14ac:dyDescent="0.2">
      <c r="B12" s="144">
        <v>44321</v>
      </c>
      <c r="C12" s="1029" t="s">
        <v>590</v>
      </c>
      <c r="D12" s="156" t="s">
        <v>591</v>
      </c>
      <c r="E12" s="142" t="s">
        <v>592</v>
      </c>
      <c r="F12" s="157">
        <v>35.67</v>
      </c>
      <c r="J12" s="143"/>
    </row>
    <row r="13" spans="1:10" ht="25.5" customHeight="1" x14ac:dyDescent="0.2">
      <c r="B13" s="144">
        <v>44342</v>
      </c>
      <c r="C13" s="1029" t="s">
        <v>601</v>
      </c>
      <c r="D13" s="158" t="s">
        <v>451</v>
      </c>
      <c r="E13" s="142" t="s">
        <v>592</v>
      </c>
      <c r="F13" s="157">
        <v>130</v>
      </c>
      <c r="J13" s="143"/>
    </row>
    <row r="14" spans="1:10" ht="25.5" customHeight="1" x14ac:dyDescent="0.2">
      <c r="B14" s="144">
        <v>44349</v>
      </c>
      <c r="C14" s="1029" t="s">
        <v>593</v>
      </c>
      <c r="D14" s="158" t="s">
        <v>591</v>
      </c>
      <c r="E14" s="142" t="s">
        <v>592</v>
      </c>
      <c r="F14" s="157">
        <v>30.35</v>
      </c>
      <c r="J14" s="143"/>
    </row>
    <row r="15" spans="1:10" ht="25.5" customHeight="1" x14ac:dyDescent="0.2">
      <c r="B15" s="144">
        <v>44354</v>
      </c>
      <c r="C15" s="1029" t="s">
        <v>597</v>
      </c>
      <c r="D15" s="156" t="s">
        <v>598</v>
      </c>
      <c r="E15" s="142" t="s">
        <v>592</v>
      </c>
      <c r="F15" s="157">
        <v>9.58</v>
      </c>
      <c r="J15" s="143"/>
    </row>
    <row r="16" spans="1:10" ht="25.5" customHeight="1" x14ac:dyDescent="0.2">
      <c r="B16" s="144">
        <v>44369</v>
      </c>
      <c r="C16" s="1029" t="s">
        <v>627</v>
      </c>
      <c r="D16" s="158" t="s">
        <v>596</v>
      </c>
      <c r="E16" s="142" t="s">
        <v>592</v>
      </c>
      <c r="F16" s="157">
        <v>23.5</v>
      </c>
      <c r="G16" s="147"/>
      <c r="J16" s="143"/>
    </row>
    <row r="17" spans="2:10" ht="25.5" customHeight="1" x14ac:dyDescent="0.2">
      <c r="B17" s="144">
        <v>44379</v>
      </c>
      <c r="C17" s="1029" t="s">
        <v>590</v>
      </c>
      <c r="D17" s="158" t="s">
        <v>591</v>
      </c>
      <c r="E17" s="142" t="s">
        <v>592</v>
      </c>
      <c r="F17" s="157">
        <v>32.47</v>
      </c>
      <c r="J17" s="143"/>
    </row>
    <row r="18" spans="2:10" ht="25.5" customHeight="1" x14ac:dyDescent="0.2">
      <c r="B18" s="144">
        <v>44385</v>
      </c>
      <c r="C18" s="1029" t="s">
        <v>612</v>
      </c>
      <c r="D18" s="158" t="s">
        <v>609</v>
      </c>
      <c r="E18" s="142" t="s">
        <v>592</v>
      </c>
      <c r="F18" s="157">
        <v>500</v>
      </c>
      <c r="J18" s="143"/>
    </row>
    <row r="19" spans="2:10" ht="25.5" customHeight="1" x14ac:dyDescent="0.2">
      <c r="B19" s="144">
        <v>44395</v>
      </c>
      <c r="C19" s="1029" t="s">
        <v>607</v>
      </c>
      <c r="D19" s="158" t="s">
        <v>608</v>
      </c>
      <c r="E19" s="142" t="s">
        <v>592</v>
      </c>
      <c r="F19" s="157">
        <v>1081.2</v>
      </c>
      <c r="J19" s="143"/>
    </row>
    <row r="20" spans="2:10" ht="25.5" customHeight="1" x14ac:dyDescent="0.2">
      <c r="B20" s="144">
        <v>44411</v>
      </c>
      <c r="C20" s="1029" t="s">
        <v>590</v>
      </c>
      <c r="D20" s="159" t="s">
        <v>591</v>
      </c>
      <c r="E20" s="142" t="s">
        <v>592</v>
      </c>
      <c r="F20" s="157">
        <v>34.590000000000003</v>
      </c>
      <c r="J20" s="143"/>
    </row>
    <row r="21" spans="2:10" ht="25.5" customHeight="1" x14ac:dyDescent="0.2">
      <c r="B21" s="144">
        <v>44441</v>
      </c>
      <c r="C21" s="1029" t="s">
        <v>590</v>
      </c>
      <c r="D21" s="158" t="s">
        <v>591</v>
      </c>
      <c r="E21" s="142" t="s">
        <v>592</v>
      </c>
      <c r="F21" s="157">
        <v>32.04</v>
      </c>
      <c r="J21" s="143"/>
    </row>
    <row r="22" spans="2:10" ht="25.5" customHeight="1" x14ac:dyDescent="0.2">
      <c r="B22" s="144">
        <v>44456</v>
      </c>
      <c r="C22" s="1029" t="s">
        <v>612</v>
      </c>
      <c r="D22" s="158" t="s">
        <v>609</v>
      </c>
      <c r="E22" s="142" t="s">
        <v>592</v>
      </c>
      <c r="F22" s="157">
        <v>500</v>
      </c>
      <c r="J22" s="143"/>
    </row>
    <row r="23" spans="2:10" ht="25.5" customHeight="1" x14ac:dyDescent="0.2">
      <c r="B23" s="144">
        <v>44457</v>
      </c>
      <c r="C23" s="1029" t="s">
        <v>605</v>
      </c>
      <c r="D23" s="158" t="s">
        <v>606</v>
      </c>
      <c r="E23" s="142" t="s">
        <v>592</v>
      </c>
      <c r="F23" s="157">
        <v>60</v>
      </c>
      <c r="J23" s="143"/>
    </row>
    <row r="24" spans="2:10" ht="25.5" customHeight="1" x14ac:dyDescent="0.2">
      <c r="B24" s="144">
        <v>44463</v>
      </c>
      <c r="C24" s="1029" t="s">
        <v>590</v>
      </c>
      <c r="D24" s="156" t="s">
        <v>599</v>
      </c>
      <c r="E24" s="142" t="s">
        <v>592</v>
      </c>
      <c r="F24" s="157">
        <v>-235.45</v>
      </c>
      <c r="J24" s="143"/>
    </row>
    <row r="25" spans="2:10" ht="23.1" customHeight="1" x14ac:dyDescent="0.2">
      <c r="B25" s="144">
        <v>44472</v>
      </c>
      <c r="C25" s="1029" t="s">
        <v>597</v>
      </c>
      <c r="D25" s="156" t="s">
        <v>594</v>
      </c>
      <c r="E25" s="142" t="s">
        <v>592</v>
      </c>
      <c r="F25" s="157">
        <v>8.33</v>
      </c>
    </row>
    <row r="26" spans="2:10" ht="23.1" customHeight="1" x14ac:dyDescent="0.2">
      <c r="B26" s="144">
        <v>44473</v>
      </c>
      <c r="C26" s="1029" t="s">
        <v>590</v>
      </c>
      <c r="D26" s="158" t="s">
        <v>591</v>
      </c>
      <c r="E26" s="142" t="s">
        <v>592</v>
      </c>
      <c r="F26" s="157">
        <v>2.5099999999999998</v>
      </c>
    </row>
    <row r="27" spans="2:10" ht="23.1" customHeight="1" x14ac:dyDescent="0.2">
      <c r="B27" s="144">
        <v>44475</v>
      </c>
      <c r="C27" s="1029" t="s">
        <v>614</v>
      </c>
      <c r="D27" s="158" t="s">
        <v>615</v>
      </c>
      <c r="E27" s="142" t="s">
        <v>592</v>
      </c>
      <c r="F27" s="157">
        <v>3.11</v>
      </c>
    </row>
    <row r="28" spans="2:10" ht="23.1" customHeight="1" x14ac:dyDescent="0.2">
      <c r="B28" s="144">
        <v>44476</v>
      </c>
      <c r="C28" s="1029" t="s">
        <v>603</v>
      </c>
      <c r="D28" s="158" t="s">
        <v>604</v>
      </c>
      <c r="E28" s="142" t="s">
        <v>592</v>
      </c>
      <c r="F28" s="157">
        <v>26.25</v>
      </c>
    </row>
    <row r="29" spans="2:10" ht="23.1" customHeight="1" x14ac:dyDescent="0.2">
      <c r="B29" s="144">
        <v>44483</v>
      </c>
      <c r="C29" s="1029" t="s">
        <v>610</v>
      </c>
      <c r="D29" s="158" t="s">
        <v>611</v>
      </c>
      <c r="E29" s="142" t="s">
        <v>592</v>
      </c>
      <c r="F29" s="157">
        <v>119.6</v>
      </c>
    </row>
    <row r="30" spans="2:10" ht="23.1" customHeight="1" x14ac:dyDescent="0.2">
      <c r="B30" s="144">
        <v>44502</v>
      </c>
      <c r="C30" s="1029" t="s">
        <v>590</v>
      </c>
      <c r="D30" s="158" t="s">
        <v>591</v>
      </c>
      <c r="E30" s="142" t="s">
        <v>592</v>
      </c>
      <c r="F30" s="157">
        <v>2.58</v>
      </c>
    </row>
    <row r="31" spans="2:10" ht="23.1" customHeight="1" x14ac:dyDescent="0.2">
      <c r="B31" s="144">
        <v>44502</v>
      </c>
      <c r="C31" s="1029" t="s">
        <v>590</v>
      </c>
      <c r="D31" s="158" t="s">
        <v>591</v>
      </c>
      <c r="E31" s="142" t="s">
        <v>592</v>
      </c>
      <c r="F31" s="157">
        <v>2.5</v>
      </c>
    </row>
    <row r="32" spans="2:10" ht="23.1" customHeight="1" x14ac:dyDescent="0.2">
      <c r="B32" s="144">
        <v>44543</v>
      </c>
      <c r="C32" s="1029" t="s">
        <v>613</v>
      </c>
      <c r="D32" s="158" t="s">
        <v>609</v>
      </c>
      <c r="E32" s="142" t="s">
        <v>592</v>
      </c>
      <c r="F32" s="157">
        <v>300</v>
      </c>
    </row>
    <row r="33" spans="1:10" ht="23.1" customHeight="1" x14ac:dyDescent="0.2">
      <c r="B33" s="144">
        <v>44543</v>
      </c>
      <c r="C33" s="1029" t="s">
        <v>613</v>
      </c>
      <c r="D33" s="158" t="s">
        <v>609</v>
      </c>
      <c r="E33" s="142" t="s">
        <v>592</v>
      </c>
      <c r="F33" s="157">
        <v>500</v>
      </c>
    </row>
    <row r="34" spans="1:10" ht="23.1" customHeight="1" x14ac:dyDescent="0.2">
      <c r="B34" s="144">
        <v>44566</v>
      </c>
      <c r="C34" s="1029" t="s">
        <v>590</v>
      </c>
      <c r="D34" s="158" t="s">
        <v>591</v>
      </c>
      <c r="E34" s="142" t="s">
        <v>592</v>
      </c>
      <c r="F34" s="157">
        <v>2.81</v>
      </c>
    </row>
    <row r="35" spans="1:10" ht="23.1" customHeight="1" x14ac:dyDescent="0.2">
      <c r="B35" s="144">
        <v>44568</v>
      </c>
      <c r="C35" s="1029" t="s">
        <v>610</v>
      </c>
      <c r="D35" s="158" t="s">
        <v>611</v>
      </c>
      <c r="E35" s="142" t="s">
        <v>592</v>
      </c>
      <c r="F35" s="157">
        <v>71.2</v>
      </c>
    </row>
    <row r="36" spans="1:10" ht="23.1" customHeight="1" x14ac:dyDescent="0.2">
      <c r="B36" s="144">
        <v>44594</v>
      </c>
      <c r="C36" s="1029" t="s">
        <v>590</v>
      </c>
      <c r="D36" s="158" t="s">
        <v>591</v>
      </c>
      <c r="E36" s="142" t="s">
        <v>592</v>
      </c>
      <c r="F36" s="157">
        <v>2.36</v>
      </c>
    </row>
    <row r="37" spans="1:10" ht="23.1" customHeight="1" x14ac:dyDescent="0.2">
      <c r="B37" s="144">
        <v>44610</v>
      </c>
      <c r="C37" s="1029" t="s">
        <v>612</v>
      </c>
      <c r="D37" s="146" t="s">
        <v>609</v>
      </c>
      <c r="E37" s="142" t="s">
        <v>592</v>
      </c>
      <c r="F37" s="157">
        <v>300</v>
      </c>
    </row>
    <row r="38" spans="1:10" ht="23.1" customHeight="1" x14ac:dyDescent="0.2">
      <c r="B38" s="144">
        <v>44622</v>
      </c>
      <c r="C38" s="1029" t="s">
        <v>590</v>
      </c>
      <c r="D38" s="158" t="s">
        <v>591</v>
      </c>
      <c r="E38" s="142" t="s">
        <v>592</v>
      </c>
      <c r="F38" s="157">
        <v>2.36</v>
      </c>
    </row>
    <row r="39" spans="1:10" ht="23.1" customHeight="1" x14ac:dyDescent="0.2">
      <c r="B39" s="144">
        <v>44624</v>
      </c>
      <c r="C39" s="1029" t="s">
        <v>625</v>
      </c>
      <c r="D39" s="146" t="s">
        <v>626</v>
      </c>
      <c r="E39" s="142" t="s">
        <v>592</v>
      </c>
      <c r="F39" s="157">
        <v>65.12</v>
      </c>
    </row>
    <row r="40" spans="1:10" ht="23.1" customHeight="1" x14ac:dyDescent="0.2">
      <c r="B40" s="144">
        <v>44628</v>
      </c>
      <c r="C40" s="1029" t="s">
        <v>619</v>
      </c>
      <c r="D40" s="158" t="s">
        <v>620</v>
      </c>
      <c r="E40" s="142" t="s">
        <v>592</v>
      </c>
      <c r="F40" s="157">
        <v>11.67</v>
      </c>
    </row>
    <row r="41" spans="1:10" ht="23.1" customHeight="1" x14ac:dyDescent="0.2">
      <c r="B41" s="144">
        <v>44628</v>
      </c>
      <c r="C41" s="1029" t="s">
        <v>622</v>
      </c>
      <c r="D41" s="158" t="s">
        <v>621</v>
      </c>
      <c r="E41" s="142" t="s">
        <v>592</v>
      </c>
      <c r="F41" s="157">
        <v>6.17</v>
      </c>
    </row>
    <row r="42" spans="1:10" ht="23.1" customHeight="1" x14ac:dyDescent="0.2">
      <c r="B42" s="144">
        <v>44628</v>
      </c>
      <c r="C42" s="1029" t="s">
        <v>622</v>
      </c>
      <c r="D42" s="158" t="s">
        <v>621</v>
      </c>
      <c r="E42" s="142" t="s">
        <v>592</v>
      </c>
      <c r="F42" s="157">
        <v>3.51</v>
      </c>
    </row>
    <row r="43" spans="1:10" ht="23.1" customHeight="1" x14ac:dyDescent="0.2">
      <c r="B43" s="144">
        <v>44628</v>
      </c>
      <c r="C43" s="1029" t="s">
        <v>622</v>
      </c>
      <c r="D43" s="158" t="s">
        <v>621</v>
      </c>
      <c r="E43" s="142" t="s">
        <v>592</v>
      </c>
      <c r="F43" s="157">
        <v>2</v>
      </c>
    </row>
    <row r="44" spans="1:10" ht="23.1" customHeight="1" x14ac:dyDescent="0.2">
      <c r="B44" s="144">
        <v>44628</v>
      </c>
      <c r="C44" s="1029" t="s">
        <v>624</v>
      </c>
      <c r="D44" s="158" t="s">
        <v>621</v>
      </c>
      <c r="E44" s="142" t="s">
        <v>592</v>
      </c>
      <c r="F44" s="157">
        <v>2.4900000000000002</v>
      </c>
    </row>
    <row r="45" spans="1:10" ht="23.1" customHeight="1" x14ac:dyDescent="0.2">
      <c r="B45" s="144">
        <v>44629</v>
      </c>
      <c r="C45" s="1029" t="s">
        <v>623</v>
      </c>
      <c r="D45" s="158" t="s">
        <v>621</v>
      </c>
      <c r="E45" s="142" t="s">
        <v>592</v>
      </c>
      <c r="F45" s="157">
        <v>2</v>
      </c>
    </row>
    <row r="46" spans="1:10" ht="23.1" customHeight="1" x14ac:dyDescent="0.2">
      <c r="B46" s="144">
        <v>44631</v>
      </c>
      <c r="C46" s="1029" t="s">
        <v>617</v>
      </c>
      <c r="D46" s="158" t="s">
        <v>618</v>
      </c>
      <c r="E46" s="142" t="s">
        <v>592</v>
      </c>
      <c r="F46" s="157">
        <v>9.92</v>
      </c>
    </row>
    <row r="47" spans="1:10" ht="23.1" customHeight="1" x14ac:dyDescent="0.2">
      <c r="B47" s="144"/>
      <c r="C47" s="145"/>
      <c r="D47" s="146"/>
      <c r="E47" s="142"/>
      <c r="F47" s="157"/>
    </row>
    <row r="48" spans="1:10" ht="23.1" customHeight="1" x14ac:dyDescent="0.2">
      <c r="A48" t="s">
        <v>79</v>
      </c>
      <c r="B48" s="144"/>
      <c r="C48" s="145"/>
      <c r="D48" s="146"/>
      <c r="E48" s="142"/>
      <c r="F48" s="157"/>
      <c r="J48" s="143"/>
    </row>
    <row r="49" spans="1:10" ht="18" customHeight="1" x14ac:dyDescent="0.2">
      <c r="B49" s="148"/>
      <c r="C49" s="149"/>
      <c r="D49" s="149"/>
      <c r="E49" s="150"/>
      <c r="F49" s="160"/>
      <c r="J49" s="143"/>
    </row>
    <row r="50" spans="1:10" ht="15" x14ac:dyDescent="0.2">
      <c r="B50" s="151" t="s">
        <v>223</v>
      </c>
      <c r="C50" s="138"/>
      <c r="D50" s="138"/>
      <c r="E50" s="137"/>
      <c r="F50" s="161">
        <f>SUM(F8:F49)</f>
        <v>3809.88</v>
      </c>
      <c r="G50" s="135"/>
      <c r="H50" s="152"/>
      <c r="J50" s="143"/>
    </row>
    <row r="51" spans="1:10" ht="21" customHeight="1" x14ac:dyDescent="0.2">
      <c r="C51" s="138"/>
      <c r="D51" s="138"/>
      <c r="E51" s="137"/>
      <c r="H51" s="135"/>
    </row>
    <row r="52" spans="1:10" ht="24.95" customHeight="1" x14ac:dyDescent="0.2">
      <c r="B52" s="153"/>
      <c r="C52" s="138"/>
      <c r="D52" s="138"/>
      <c r="E52" s="137"/>
      <c r="F52" s="162"/>
      <c r="J52" s="143"/>
    </row>
    <row r="53" spans="1:10" ht="21" customHeight="1" x14ac:dyDescent="0.2">
      <c r="A53" s="136"/>
      <c r="B53" s="153"/>
      <c r="C53" s="138"/>
      <c r="D53" s="138"/>
      <c r="E53" s="137"/>
      <c r="F53" s="162"/>
    </row>
    <row r="54" spans="1:10" ht="14.25" customHeight="1" x14ac:dyDescent="0.2">
      <c r="A54" s="136"/>
      <c r="C54" s="138"/>
      <c r="D54" s="138"/>
      <c r="E54" s="137"/>
    </row>
    <row r="55" spans="1:10" ht="22.5" customHeight="1" x14ac:dyDescent="0.2">
      <c r="B55" s="153"/>
      <c r="C55" s="138"/>
      <c r="D55" s="138"/>
      <c r="E55" s="137"/>
      <c r="F55" s="162"/>
    </row>
    <row r="56" spans="1:10" ht="24.95" customHeight="1" x14ac:dyDescent="0.2">
      <c r="B56" s="153"/>
      <c r="C56" s="138"/>
      <c r="D56" s="138"/>
      <c r="E56" s="137"/>
      <c r="F56" s="162"/>
    </row>
    <row r="57" spans="1:10" ht="15.75" customHeight="1" x14ac:dyDescent="0.2">
      <c r="B57" s="153"/>
      <c r="C57" s="138"/>
      <c r="D57" s="138"/>
      <c r="E57" s="154"/>
      <c r="F57" s="163"/>
    </row>
    <row r="58" spans="1:10" ht="20.100000000000001" customHeight="1" x14ac:dyDescent="0.2"/>
    <row r="59" spans="1:10" ht="20.100000000000001" customHeight="1" x14ac:dyDescent="0.2"/>
    <row r="60" spans="1:10" ht="20.100000000000001" customHeight="1" x14ac:dyDescent="0.2"/>
    <row r="61" spans="1:10" ht="20.100000000000001" customHeight="1" x14ac:dyDescent="0.2"/>
    <row r="62" spans="1:10" ht="20.100000000000001" customHeight="1" x14ac:dyDescent="0.2"/>
    <row r="63" spans="1:10" ht="20.100000000000001" customHeight="1" x14ac:dyDescent="0.2">
      <c r="J63">
        <v>15.6</v>
      </c>
    </row>
    <row r="64" spans="1:10" ht="20.100000000000001" customHeight="1" x14ac:dyDescent="0.2"/>
    <row r="65" spans="10:10" ht="20.100000000000001" customHeight="1" x14ac:dyDescent="0.2"/>
    <row r="66" spans="10:10" x14ac:dyDescent="0.2">
      <c r="J66">
        <v>32.979999999999997</v>
      </c>
    </row>
    <row r="67" spans="10:10" x14ac:dyDescent="0.2">
      <c r="J67">
        <v>1.72</v>
      </c>
    </row>
  </sheetData>
  <sheetProtection algorithmName="SHA-512" hashValue="Tpy/sgQ+XW3i3F/pgRO77V2O3UxPD5sn4p5rU3P+lJvQYm+sDQWzE8zjD48z3DVkadWDs2DN9qjeyeroI9+0fA==" saltValue="RL6+aUNL7LUnvYFpc/RYHw==" spinCount="100000" sheet="1" objects="1" scenarios="1" selectLockedCells="1" selectUnlockedCells="1"/>
  <sortState xmlns:xlrd2="http://schemas.microsoft.com/office/spreadsheetml/2017/richdata2" ref="B8:F46">
    <sortCondition ref="B8:B46"/>
  </sortState>
  <pageMargins left="0.19685039370078741" right="0.19685039370078741" top="0" bottom="0" header="0.51181102362204722" footer="0.51181102362204722"/>
  <pageSetup paperSize="9"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27"/>
    <pageSetUpPr fitToPage="1"/>
  </sheetPr>
  <dimension ref="A1:P1221"/>
  <sheetViews>
    <sheetView showGridLines="0" showZeros="0" zoomScaleNormal="100" workbookViewId="0">
      <pane ySplit="3" topLeftCell="A4" activePane="bottomLeft" state="frozen"/>
      <selection activeCell="E22" sqref="E22"/>
      <selection pane="bottomLeft" activeCell="S14" sqref="S14"/>
    </sheetView>
  </sheetViews>
  <sheetFormatPr defaultColWidth="9.140625" defaultRowHeight="15" x14ac:dyDescent="0.2"/>
  <cols>
    <col min="1" max="1" width="1.7109375" style="28" customWidth="1"/>
    <col min="2" max="2" width="2.85546875" style="28" customWidth="1"/>
    <col min="3" max="3" width="11" style="28" customWidth="1"/>
    <col min="4" max="4" width="26.7109375" style="28" customWidth="1"/>
    <col min="5" max="5" width="11.7109375" style="56" customWidth="1"/>
    <col min="6" max="6" width="16.85546875" style="335" customWidth="1"/>
    <col min="7" max="7" width="15" style="28" customWidth="1"/>
    <col min="8" max="8" width="12.42578125" style="28" customWidth="1"/>
    <col min="9" max="9" width="12.85546875" style="28" bestFit="1" customWidth="1"/>
    <col min="10" max="10" width="12.5703125" style="28" hidden="1" customWidth="1"/>
    <col min="11" max="11" width="14" style="28" hidden="1" customWidth="1"/>
    <col min="12" max="12" width="12" style="28" hidden="1" customWidth="1"/>
    <col min="13" max="13" width="27.7109375" style="28" hidden="1" customWidth="1"/>
    <col min="14" max="14" width="12.140625" style="193" hidden="1" customWidth="1"/>
    <col min="15" max="15" width="13" style="35" hidden="1" customWidth="1"/>
    <col min="16" max="16" width="1.7109375" style="28" customWidth="1"/>
    <col min="17" max="17" width="1.140625" style="28" customWidth="1"/>
    <col min="18" max="19" width="10.5703125" style="28" bestFit="1" customWidth="1"/>
    <col min="20" max="16384" width="9.140625" style="28"/>
  </cols>
  <sheetData>
    <row r="1" spans="1:16" ht="9" customHeight="1" thickBot="1" x14ac:dyDescent="0.25">
      <c r="C1" s="169"/>
      <c r="D1" s="169"/>
      <c r="E1" s="70"/>
      <c r="G1" s="61"/>
      <c r="H1" s="61"/>
      <c r="I1" s="61"/>
      <c r="J1" s="61"/>
      <c r="K1" s="61"/>
      <c r="L1" s="61"/>
      <c r="M1" s="61"/>
      <c r="N1" s="192"/>
      <c r="O1" s="70"/>
    </row>
    <row r="2" spans="1:16" s="54" customFormat="1" ht="11.25" customHeight="1" x14ac:dyDescent="0.2">
      <c r="C2" s="183"/>
      <c r="D2" s="630"/>
      <c r="E2" s="626"/>
      <c r="F2" s="627"/>
      <c r="G2" s="627"/>
      <c r="H2" s="625"/>
      <c r="I2" s="628"/>
      <c r="J2" s="625"/>
      <c r="K2" s="625"/>
      <c r="L2" s="628"/>
      <c r="M2" s="625"/>
      <c r="N2" s="665"/>
      <c r="O2" s="645"/>
    </row>
    <row r="3" spans="1:16" s="54" customFormat="1" ht="59.25" customHeight="1" x14ac:dyDescent="0.2">
      <c r="A3" s="53"/>
      <c r="B3" s="61"/>
      <c r="C3" s="629" t="s">
        <v>437</v>
      </c>
      <c r="D3" s="631"/>
      <c r="E3" s="336" t="s">
        <v>369</v>
      </c>
      <c r="F3" s="882" t="s">
        <v>404</v>
      </c>
      <c r="G3" s="66" t="s">
        <v>293</v>
      </c>
      <c r="H3" s="67" t="s">
        <v>292</v>
      </c>
      <c r="I3" s="184" t="s">
        <v>72</v>
      </c>
      <c r="J3" s="166" t="s">
        <v>44</v>
      </c>
      <c r="K3" s="68" t="s">
        <v>67</v>
      </c>
      <c r="L3" s="122" t="s">
        <v>77</v>
      </c>
      <c r="M3" s="1042" t="s">
        <v>405</v>
      </c>
      <c r="N3" s="1043"/>
      <c r="O3" s="656" t="s">
        <v>349</v>
      </c>
    </row>
    <row r="4" spans="1:16" s="54" customFormat="1" ht="18.75" customHeight="1" x14ac:dyDescent="0.2">
      <c r="A4" s="53"/>
      <c r="B4" s="61"/>
      <c r="C4" s="897"/>
      <c r="D4" s="750" t="s">
        <v>41</v>
      </c>
      <c r="E4" s="337"/>
      <c r="F4" s="881"/>
      <c r="G4" s="74" t="s">
        <v>61</v>
      </c>
      <c r="H4" s="73"/>
      <c r="I4" s="185"/>
      <c r="J4" s="230">
        <f>SUM(J5:J13)</f>
        <v>77547</v>
      </c>
      <c r="K4" s="29" t="s">
        <v>63</v>
      </c>
      <c r="L4" s="123"/>
      <c r="M4" s="29"/>
      <c r="N4" s="666"/>
      <c r="O4" s="646"/>
    </row>
    <row r="5" spans="1:16" s="54" customFormat="1" ht="18" customHeight="1" x14ac:dyDescent="0.2">
      <c r="A5" s="53"/>
      <c r="B5" s="61"/>
      <c r="C5" s="898">
        <v>49755</v>
      </c>
      <c r="D5" s="632" t="s">
        <v>8</v>
      </c>
      <c r="E5" s="338">
        <f>N5</f>
        <v>49755</v>
      </c>
      <c r="F5" s="351">
        <f>E5</f>
        <v>49755</v>
      </c>
      <c r="G5" s="90">
        <f>Receipts!E59</f>
        <v>49755</v>
      </c>
      <c r="H5" s="90">
        <f t="shared" ref="H5:H11" si="0">E5-G5</f>
        <v>0</v>
      </c>
      <c r="I5" s="264">
        <f>G5/E5*100</f>
        <v>100</v>
      </c>
      <c r="J5" s="167">
        <f>F5</f>
        <v>49755</v>
      </c>
      <c r="K5" s="90">
        <f t="shared" ref="K5:K14" si="1">F5-C5</f>
        <v>0</v>
      </c>
      <c r="L5" s="124">
        <f>K5/C5</f>
        <v>0</v>
      </c>
      <c r="M5" s="63" t="s">
        <v>8</v>
      </c>
      <c r="N5" s="667">
        <v>49755</v>
      </c>
      <c r="O5" s="657">
        <f>(N5-E5)/E5%</f>
        <v>0</v>
      </c>
    </row>
    <row r="6" spans="1:16" s="54" customFormat="1" ht="20.100000000000001" customHeight="1" x14ac:dyDescent="0.2">
      <c r="A6" s="53"/>
      <c r="B6" s="61"/>
      <c r="C6" s="898">
        <v>93.47</v>
      </c>
      <c r="D6" s="633" t="s">
        <v>9</v>
      </c>
      <c r="E6" s="338"/>
      <c r="F6" s="351">
        <f t="shared" ref="F6:F15" si="2">E6</f>
        <v>0</v>
      </c>
      <c r="G6" s="90">
        <f>Receipts!F59</f>
        <v>169.08</v>
      </c>
      <c r="H6" s="90">
        <f t="shared" si="0"/>
        <v>-169.08</v>
      </c>
      <c r="I6" s="264"/>
      <c r="J6" s="167">
        <f>14*12</f>
        <v>168</v>
      </c>
      <c r="K6" s="90">
        <f t="shared" si="1"/>
        <v>-93.47</v>
      </c>
      <c r="L6" s="124">
        <f>K6/C6</f>
        <v>-1</v>
      </c>
      <c r="M6" s="63" t="s">
        <v>9</v>
      </c>
      <c r="N6" s="667">
        <v>0</v>
      </c>
      <c r="O6" s="658" t="e">
        <f>(N6-E6)/E6%</f>
        <v>#DIV/0!</v>
      </c>
    </row>
    <row r="7" spans="1:16" s="54" customFormat="1" ht="20.100000000000001" customHeight="1" x14ac:dyDescent="0.2">
      <c r="A7" s="53"/>
      <c r="B7" s="61"/>
      <c r="C7" s="898">
        <v>356</v>
      </c>
      <c r="D7" s="632" t="s">
        <v>27</v>
      </c>
      <c r="E7" s="338">
        <v>450</v>
      </c>
      <c r="F7" s="351">
        <f t="shared" si="2"/>
        <v>450</v>
      </c>
      <c r="G7" s="90">
        <f>Receipts!G59</f>
        <v>292</v>
      </c>
      <c r="H7" s="90">
        <f t="shared" si="0"/>
        <v>158</v>
      </c>
      <c r="I7" s="264">
        <f>G7/E7*100</f>
        <v>64.89</v>
      </c>
      <c r="J7" s="167">
        <v>400</v>
      </c>
      <c r="K7" s="90">
        <f t="shared" si="1"/>
        <v>94</v>
      </c>
      <c r="L7" s="124">
        <f>K7/C7</f>
        <v>0.26400000000000001</v>
      </c>
      <c r="M7" s="63" t="s">
        <v>27</v>
      </c>
      <c r="N7" s="667">
        <v>450</v>
      </c>
      <c r="O7" s="659">
        <f>(N7-E7)/E7%</f>
        <v>0</v>
      </c>
    </row>
    <row r="8" spans="1:16" s="54" customFormat="1" ht="20.100000000000001" customHeight="1" x14ac:dyDescent="0.2">
      <c r="A8" s="53"/>
      <c r="B8" s="61"/>
      <c r="C8" s="898"/>
      <c r="D8" s="632" t="s">
        <v>28</v>
      </c>
      <c r="E8" s="338"/>
      <c r="F8" s="351">
        <f t="shared" si="2"/>
        <v>0</v>
      </c>
      <c r="G8" s="90"/>
      <c r="H8" s="90">
        <f t="shared" si="0"/>
        <v>0</v>
      </c>
      <c r="I8" s="264"/>
      <c r="J8" s="167"/>
      <c r="K8" s="90">
        <f t="shared" si="1"/>
        <v>0</v>
      </c>
      <c r="L8" s="124"/>
      <c r="M8" s="63" t="s">
        <v>28</v>
      </c>
      <c r="N8" s="667"/>
      <c r="O8" s="659"/>
    </row>
    <row r="9" spans="1:16" s="54" customFormat="1" ht="20.100000000000001" customHeight="1" x14ac:dyDescent="0.2">
      <c r="A9" s="53"/>
      <c r="B9" s="61"/>
      <c r="C9" s="898">
        <v>0</v>
      </c>
      <c r="D9" s="632" t="s">
        <v>60</v>
      </c>
      <c r="E9" s="338">
        <v>690</v>
      </c>
      <c r="F9" s="351">
        <f t="shared" si="2"/>
        <v>690</v>
      </c>
      <c r="G9" s="90">
        <f>Receipts!H59</f>
        <v>0</v>
      </c>
      <c r="H9" s="90">
        <f t="shared" si="0"/>
        <v>690</v>
      </c>
      <c r="I9" s="264">
        <f>G9/E9*100</f>
        <v>0</v>
      </c>
      <c r="J9" s="167">
        <v>690</v>
      </c>
      <c r="K9" s="90">
        <f t="shared" si="1"/>
        <v>690</v>
      </c>
      <c r="L9" s="124">
        <v>-1</v>
      </c>
      <c r="M9" s="63" t="s">
        <v>60</v>
      </c>
      <c r="N9" s="667">
        <v>690</v>
      </c>
      <c r="O9" s="659">
        <f>(N9-E9)/E9%</f>
        <v>0</v>
      </c>
    </row>
    <row r="10" spans="1:16" s="54" customFormat="1" ht="20.100000000000001" customHeight="1" x14ac:dyDescent="0.2">
      <c r="A10" s="53"/>
      <c r="B10" s="61"/>
      <c r="C10" s="898">
        <v>0</v>
      </c>
      <c r="D10" s="634" t="s">
        <v>14</v>
      </c>
      <c r="E10" s="338">
        <v>0</v>
      </c>
      <c r="F10" s="351">
        <f t="shared" si="2"/>
        <v>0</v>
      </c>
      <c r="G10" s="90">
        <f>Receipts!J59</f>
        <v>49.63</v>
      </c>
      <c r="H10" s="90">
        <f t="shared" si="0"/>
        <v>-49.63</v>
      </c>
      <c r="I10" s="264"/>
      <c r="J10" s="167">
        <v>0</v>
      </c>
      <c r="K10" s="90">
        <f t="shared" si="1"/>
        <v>0</v>
      </c>
      <c r="L10" s="124">
        <v>-1</v>
      </c>
      <c r="M10" s="121" t="s">
        <v>34</v>
      </c>
      <c r="N10" s="667">
        <v>0</v>
      </c>
      <c r="O10" s="659">
        <v>0</v>
      </c>
      <c r="P10" s="61"/>
    </row>
    <row r="11" spans="1:16" s="248" customFormat="1" ht="20.100000000000001" customHeight="1" x14ac:dyDescent="0.2">
      <c r="A11" s="53"/>
      <c r="B11" s="61"/>
      <c r="C11" s="898">
        <v>534.22</v>
      </c>
      <c r="D11" s="634" t="s">
        <v>252</v>
      </c>
      <c r="E11" s="338">
        <v>534</v>
      </c>
      <c r="F11" s="351">
        <f t="shared" si="2"/>
        <v>534</v>
      </c>
      <c r="G11" s="90">
        <f>Receipts!I59</f>
        <v>0</v>
      </c>
      <c r="H11" s="90">
        <f t="shared" si="0"/>
        <v>534</v>
      </c>
      <c r="I11" s="264">
        <f>G11/E11*100</f>
        <v>0</v>
      </c>
      <c r="J11" s="167">
        <v>534</v>
      </c>
      <c r="K11" s="90">
        <f t="shared" si="1"/>
        <v>-0.22</v>
      </c>
      <c r="L11" s="124"/>
      <c r="M11" s="121" t="s">
        <v>252</v>
      </c>
      <c r="N11" s="667">
        <v>534</v>
      </c>
      <c r="O11" s="659"/>
      <c r="P11" s="61"/>
    </row>
    <row r="12" spans="1:16" s="581" customFormat="1" ht="20.100000000000001" customHeight="1" x14ac:dyDescent="0.2">
      <c r="A12" s="53"/>
      <c r="B12" s="61"/>
      <c r="C12" s="898"/>
      <c r="D12" s="634" t="s">
        <v>361</v>
      </c>
      <c r="E12" s="888">
        <v>26000</v>
      </c>
      <c r="F12" s="351">
        <f>E12</f>
        <v>26000</v>
      </c>
      <c r="G12" s="90"/>
      <c r="I12" s="264"/>
      <c r="J12" s="167">
        <v>26000</v>
      </c>
      <c r="K12" s="90">
        <f t="shared" si="1"/>
        <v>26000</v>
      </c>
      <c r="L12" s="124"/>
      <c r="M12" s="121" t="s">
        <v>361</v>
      </c>
      <c r="N12" s="667">
        <v>26000</v>
      </c>
      <c r="O12" s="659"/>
      <c r="P12" s="61"/>
    </row>
    <row r="13" spans="1:16" s="54" customFormat="1" ht="20.100000000000001" customHeight="1" x14ac:dyDescent="0.2">
      <c r="A13" s="53"/>
      <c r="B13" s="61"/>
      <c r="C13" s="898">
        <f>SUM(C5:C12)</f>
        <v>50738.69</v>
      </c>
      <c r="D13" s="635" t="s">
        <v>80</v>
      </c>
      <c r="E13" s="351">
        <f>SUM(E5:E12)</f>
        <v>77429</v>
      </c>
      <c r="F13" s="351">
        <f>SUM(F5:F12)</f>
        <v>77429</v>
      </c>
      <c r="G13" s="90">
        <f>Receipts!K59</f>
        <v>11510.12</v>
      </c>
      <c r="H13" s="90">
        <f>E13-G13</f>
        <v>65918.880000000005</v>
      </c>
      <c r="I13" s="264"/>
      <c r="J13" s="222"/>
      <c r="K13" s="90">
        <f t="shared" si="1"/>
        <v>26690.31</v>
      </c>
      <c r="L13" s="124"/>
      <c r="M13" s="132" t="s">
        <v>80</v>
      </c>
      <c r="N13" s="668">
        <f>SUM(N5:N12)</f>
        <v>77429</v>
      </c>
      <c r="O13" s="659"/>
      <c r="P13" s="61"/>
    </row>
    <row r="14" spans="1:16" s="244" customFormat="1" ht="20.100000000000001" customHeight="1" x14ac:dyDescent="0.2">
      <c r="A14" s="53"/>
      <c r="B14" s="61"/>
      <c r="C14" s="898">
        <v>20500</v>
      </c>
      <c r="D14" s="636"/>
      <c r="E14" s="888"/>
      <c r="F14" s="351"/>
      <c r="G14" s="90"/>
      <c r="H14" s="90">
        <f>E14-G14</f>
        <v>0</v>
      </c>
      <c r="I14" s="264"/>
      <c r="J14" s="222">
        <v>11578</v>
      </c>
      <c r="K14" s="90">
        <f t="shared" si="1"/>
        <v>-20500</v>
      </c>
      <c r="L14" s="124"/>
      <c r="M14" s="121" t="s">
        <v>336</v>
      </c>
      <c r="N14" s="667">
        <v>11767</v>
      </c>
      <c r="O14" s="659"/>
      <c r="P14" s="61"/>
    </row>
    <row r="15" spans="1:16" s="54" customFormat="1" ht="20.100000000000001" customHeight="1" x14ac:dyDescent="0.2">
      <c r="A15" s="53"/>
      <c r="B15" s="61"/>
      <c r="C15" s="899"/>
      <c r="D15" s="637" t="s">
        <v>69</v>
      </c>
      <c r="E15" s="338">
        <v>120880</v>
      </c>
      <c r="F15" s="351">
        <f t="shared" si="2"/>
        <v>120880</v>
      </c>
      <c r="G15" s="57"/>
      <c r="H15" s="90">
        <f>E15-G15</f>
        <v>120880</v>
      </c>
      <c r="I15" s="264">
        <f>G15/E15*100</f>
        <v>0</v>
      </c>
      <c r="J15" s="167">
        <v>86304</v>
      </c>
      <c r="K15" s="90"/>
      <c r="L15" s="124"/>
      <c r="M15" s="257" t="s">
        <v>69</v>
      </c>
      <c r="N15" s="669">
        <v>120880</v>
      </c>
      <c r="O15" s="658">
        <f>(N15-E15)/E15%</f>
        <v>0</v>
      </c>
      <c r="P15" s="61"/>
    </row>
    <row r="16" spans="1:16" s="54" customFormat="1" ht="20.100000000000001" customHeight="1" thickBot="1" x14ac:dyDescent="0.25">
      <c r="A16" s="53"/>
      <c r="B16" s="61"/>
      <c r="C16" s="900">
        <f>SUM(C5:C15)</f>
        <v>121977.38</v>
      </c>
      <c r="D16" s="638" t="s">
        <v>15</v>
      </c>
      <c r="E16" s="593">
        <f>SUM(E5:E15)-E13</f>
        <v>198309</v>
      </c>
      <c r="F16" s="586">
        <f>SUM(F13:F15)</f>
        <v>198309</v>
      </c>
      <c r="G16" s="62">
        <f>SUM(G5:G15)</f>
        <v>61775.83</v>
      </c>
      <c r="H16" s="71"/>
      <c r="I16" s="265"/>
      <c r="J16" s="168">
        <f>SUM(J5:J15)</f>
        <v>175429</v>
      </c>
      <c r="K16" s="90">
        <f>F16-C16</f>
        <v>76331.62</v>
      </c>
      <c r="L16" s="258">
        <f>K16/C16</f>
        <v>0.62580000000000002</v>
      </c>
      <c r="M16" s="227"/>
      <c r="N16" s="670">
        <f>SUM(N5:N15)-N13</f>
        <v>210076</v>
      </c>
      <c r="O16" s="660">
        <f>(N16-E16)/E16%</f>
        <v>5.93</v>
      </c>
      <c r="P16" s="61"/>
    </row>
    <row r="17" spans="1:16" s="54" customFormat="1" ht="59.25" customHeight="1" x14ac:dyDescent="0.2">
      <c r="A17" s="53"/>
      <c r="B17" s="61"/>
      <c r="C17" s="901" t="s">
        <v>438</v>
      </c>
      <c r="D17" s="1044" t="s">
        <v>66</v>
      </c>
      <c r="E17" s="336" t="s">
        <v>369</v>
      </c>
      <c r="F17" s="884" t="s">
        <v>404</v>
      </c>
      <c r="G17" s="66" t="s">
        <v>293</v>
      </c>
      <c r="H17" s="67" t="s">
        <v>292</v>
      </c>
      <c r="I17" s="184" t="s">
        <v>72</v>
      </c>
      <c r="J17" s="166" t="s">
        <v>44</v>
      </c>
      <c r="K17" s="68" t="s">
        <v>67</v>
      </c>
      <c r="L17" s="122" t="s">
        <v>77</v>
      </c>
      <c r="M17" s="1042" t="s">
        <v>348</v>
      </c>
      <c r="N17" s="1043"/>
      <c r="O17" s="656" t="s">
        <v>349</v>
      </c>
      <c r="P17" s="133"/>
    </row>
    <row r="18" spans="1:16" ht="11.25" customHeight="1" x14ac:dyDescent="0.2">
      <c r="C18" s="902"/>
      <c r="D18" s="1045"/>
      <c r="E18" s="339"/>
      <c r="F18" s="883"/>
      <c r="G18" s="72" t="s">
        <v>61</v>
      </c>
      <c r="H18" s="69"/>
      <c r="I18" s="186"/>
      <c r="J18" s="69"/>
      <c r="K18" s="29" t="s">
        <v>63</v>
      </c>
      <c r="L18" s="69"/>
      <c r="M18" s="69"/>
      <c r="N18" s="671"/>
      <c r="O18" s="647"/>
      <c r="P18" s="169"/>
    </row>
    <row r="19" spans="1:16" s="54" customFormat="1" ht="18" customHeight="1" x14ac:dyDescent="0.2">
      <c r="A19" s="53"/>
      <c r="B19" s="61"/>
      <c r="C19" s="903">
        <v>9376.0400000000009</v>
      </c>
      <c r="D19" s="889" t="s">
        <v>406</v>
      </c>
      <c r="E19" s="298">
        <v>10000</v>
      </c>
      <c r="F19" s="352">
        <f>E19</f>
        <v>10000</v>
      </c>
      <c r="G19" s="57">
        <f>SUMIF(Payments!$O$3:$O$132,D19,Payments!$M$3:$M$134)</f>
        <v>10058.11</v>
      </c>
      <c r="H19" s="127">
        <f>F19-G19</f>
        <v>-58.11</v>
      </c>
      <c r="I19" s="187">
        <f>G19/E19*100</f>
        <v>100.58</v>
      </c>
      <c r="J19" s="128">
        <v>10000</v>
      </c>
      <c r="K19" s="90">
        <f t="shared" ref="K19:K49" si="3">G19-C19</f>
        <v>682.07</v>
      </c>
      <c r="L19" s="92">
        <f>K19/C19</f>
        <v>7.2700000000000001E-2</v>
      </c>
      <c r="M19" s="58" t="s">
        <v>45</v>
      </c>
      <c r="N19" s="672">
        <v>10000</v>
      </c>
      <c r="O19" s="661">
        <f>(N19-E19)/E19%</f>
        <v>0</v>
      </c>
      <c r="P19" s="125"/>
    </row>
    <row r="20" spans="1:16" s="220" customFormat="1" ht="18" customHeight="1" x14ac:dyDescent="0.2">
      <c r="A20" s="53"/>
      <c r="B20" s="61"/>
      <c r="C20" s="903">
        <v>559.55999999999995</v>
      </c>
      <c r="D20" s="890" t="s">
        <v>407</v>
      </c>
      <c r="E20" s="298">
        <v>600</v>
      </c>
      <c r="F20" s="352">
        <f>E20</f>
        <v>600</v>
      </c>
      <c r="G20" s="57">
        <f>SUMIF(Payments!$O$3:$O$132,D20,Payments!$M$3:$M$134)</f>
        <v>635.94000000000005</v>
      </c>
      <c r="H20" s="127">
        <f>F20-G20</f>
        <v>-35.94</v>
      </c>
      <c r="I20" s="187">
        <f>G20/E20*100</f>
        <v>105.99</v>
      </c>
      <c r="J20" s="128">
        <f>J19*6%</f>
        <v>600</v>
      </c>
      <c r="K20" s="90">
        <f t="shared" si="3"/>
        <v>76.38</v>
      </c>
      <c r="L20" s="92">
        <f>K20/C20</f>
        <v>0.13650000000000001</v>
      </c>
      <c r="M20" s="60" t="s">
        <v>323</v>
      </c>
      <c r="N20" s="672">
        <f>N19*6%</f>
        <v>600</v>
      </c>
      <c r="O20" s="648">
        <f>(N20-E20)/E20%</f>
        <v>0</v>
      </c>
      <c r="P20" s="125"/>
    </row>
    <row r="21" spans="1:16" s="54" customFormat="1" ht="18" customHeight="1" x14ac:dyDescent="0.2">
      <c r="A21" s="53"/>
      <c r="B21" s="61"/>
      <c r="C21" s="903"/>
      <c r="D21" s="890" t="s">
        <v>408</v>
      </c>
      <c r="E21" s="298">
        <v>150</v>
      </c>
      <c r="F21" s="352">
        <f>E21</f>
        <v>150</v>
      </c>
      <c r="G21" s="57">
        <f>SUMIF(Payments!$O$3:$O$132,D21,Payments!$M$3:$M$134)</f>
        <v>33.909999999999997</v>
      </c>
      <c r="H21" s="57">
        <f>F21-G21</f>
        <v>116.09</v>
      </c>
      <c r="I21" s="188">
        <f>G21/E21*100</f>
        <v>22.61</v>
      </c>
      <c r="J21" s="128">
        <f>E21</f>
        <v>150</v>
      </c>
      <c r="K21" s="90">
        <f t="shared" si="3"/>
        <v>33.909999999999997</v>
      </c>
      <c r="L21" s="92" t="e">
        <f>K21/C21</f>
        <v>#DIV/0!</v>
      </c>
      <c r="M21" s="57" t="s">
        <v>46</v>
      </c>
      <c r="N21" s="673">
        <v>150</v>
      </c>
      <c r="O21" s="662">
        <f>(N21-E21)/E21%</f>
        <v>0</v>
      </c>
      <c r="P21" s="624"/>
    </row>
    <row r="22" spans="1:16" s="289" customFormat="1" ht="14.25" customHeight="1" x14ac:dyDescent="0.2">
      <c r="A22" s="53"/>
      <c r="B22" s="61"/>
      <c r="C22" s="903"/>
      <c r="D22" s="890"/>
      <c r="E22" s="1038" t="s">
        <v>302</v>
      </c>
      <c r="F22" s="1039"/>
      <c r="G22" s="365">
        <f>SUM(G19:G21)</f>
        <v>10727.96</v>
      </c>
      <c r="H22" s="57"/>
      <c r="I22" s="188"/>
      <c r="J22" s="128"/>
      <c r="K22" s="90">
        <f t="shared" si="3"/>
        <v>10727.96</v>
      </c>
      <c r="L22" s="92"/>
      <c r="M22" s="365">
        <f>SUM(O19:O21)</f>
        <v>0</v>
      </c>
      <c r="N22" s="649"/>
      <c r="O22" s="649"/>
      <c r="P22" s="624"/>
    </row>
    <row r="23" spans="1:16" s="54" customFormat="1" ht="18" customHeight="1" x14ac:dyDescent="0.2">
      <c r="A23" s="53"/>
      <c r="B23" s="61"/>
      <c r="C23" s="899">
        <v>381.82</v>
      </c>
      <c r="D23" s="890" t="s">
        <v>409</v>
      </c>
      <c r="E23" s="340">
        <v>650</v>
      </c>
      <c r="F23" s="352">
        <f t="shared" ref="F23:F31" si="4">E23</f>
        <v>650</v>
      </c>
      <c r="G23" s="57">
        <f>SUMIF(Payments!$O$3:$O$132,D23,Payments!$M$3:$M$134)</f>
        <v>972.38</v>
      </c>
      <c r="H23" s="127">
        <f>F23-G23</f>
        <v>-322.38</v>
      </c>
      <c r="I23" s="188">
        <f>G23/E23*100</f>
        <v>149.6</v>
      </c>
      <c r="J23" s="128">
        <f>E23</f>
        <v>650</v>
      </c>
      <c r="K23" s="90">
        <f t="shared" si="3"/>
        <v>590.55999999999995</v>
      </c>
      <c r="L23" s="92">
        <f t="shared" ref="L23:L50" si="5">K23/C23</f>
        <v>1.5467</v>
      </c>
      <c r="M23" s="57" t="s">
        <v>22</v>
      </c>
      <c r="N23" s="673">
        <v>650</v>
      </c>
      <c r="O23" s="650">
        <f>(N23-E23)/E23%</f>
        <v>0</v>
      </c>
      <c r="P23" s="61"/>
    </row>
    <row r="24" spans="1:16" s="606" customFormat="1" ht="18" customHeight="1" x14ac:dyDescent="0.2">
      <c r="A24" s="53"/>
      <c r="B24" s="61"/>
      <c r="C24" s="899">
        <v>0</v>
      </c>
      <c r="D24" s="890" t="s">
        <v>410</v>
      </c>
      <c r="E24" s="340">
        <v>1000</v>
      </c>
      <c r="F24" s="352">
        <f t="shared" si="4"/>
        <v>1000</v>
      </c>
      <c r="G24" s="57">
        <f>SUMIF(Payments!$O$3:$O$132,D24,Payments!$M$3:$M$134)</f>
        <v>81.900000000000006</v>
      </c>
      <c r="H24" s="126"/>
      <c r="I24" s="187"/>
      <c r="J24" s="128">
        <f t="shared" ref="J24:J51" si="6">E24</f>
        <v>1000</v>
      </c>
      <c r="K24" s="90">
        <f t="shared" si="3"/>
        <v>81.900000000000006</v>
      </c>
      <c r="L24" s="92" t="e">
        <f t="shared" si="5"/>
        <v>#DIV/0!</v>
      </c>
      <c r="M24" s="59" t="s">
        <v>368</v>
      </c>
      <c r="N24" s="673">
        <v>1000</v>
      </c>
      <c r="O24" s="651">
        <f>(N24-E24)/E24%</f>
        <v>0</v>
      </c>
      <c r="P24" s="61"/>
    </row>
    <row r="25" spans="1:16" s="54" customFormat="1" ht="18" customHeight="1" x14ac:dyDescent="0.2">
      <c r="A25" s="53"/>
      <c r="B25" s="61"/>
      <c r="C25" s="899">
        <v>154.52000000000001</v>
      </c>
      <c r="D25" s="890" t="s">
        <v>411</v>
      </c>
      <c r="E25" s="340">
        <v>400</v>
      </c>
      <c r="F25" s="352">
        <f t="shared" si="4"/>
        <v>400</v>
      </c>
      <c r="G25" s="57">
        <f>SUMIF(Payments!$O$3:$O$132,D25,Payments!$M$3:$M$134)</f>
        <v>37.1</v>
      </c>
      <c r="H25" s="126">
        <f t="shared" ref="H25:H42" si="7">F25-G25</f>
        <v>362.9</v>
      </c>
      <c r="I25" s="187">
        <f t="shared" ref="I25:I37" si="8">G25/E25*100</f>
        <v>9.2799999999999994</v>
      </c>
      <c r="J25" s="128">
        <f t="shared" si="6"/>
        <v>400</v>
      </c>
      <c r="K25" s="90">
        <f t="shared" si="3"/>
        <v>-117.42</v>
      </c>
      <c r="L25" s="92">
        <f t="shared" si="5"/>
        <v>-0.75990000000000002</v>
      </c>
      <c r="M25" s="59" t="s">
        <v>57</v>
      </c>
      <c r="N25" s="672">
        <v>400</v>
      </c>
      <c r="O25" s="651">
        <f>(N25-E25)/E25%</f>
        <v>0</v>
      </c>
      <c r="P25" s="61"/>
    </row>
    <row r="26" spans="1:16" s="54" customFormat="1" ht="18" customHeight="1" x14ac:dyDescent="0.2">
      <c r="A26" s="53"/>
      <c r="B26" s="61"/>
      <c r="C26" s="903">
        <v>0</v>
      </c>
      <c r="D26" s="891" t="s">
        <v>412</v>
      </c>
      <c r="E26" s="340">
        <v>1500</v>
      </c>
      <c r="F26" s="587">
        <v>0</v>
      </c>
      <c r="G26" s="57">
        <f>SUMIF(Payments!$O$3:$O$132,D26,Payments!$M$3:$M$134)</f>
        <v>89.54</v>
      </c>
      <c r="H26" s="127">
        <f t="shared" si="7"/>
        <v>-89.54</v>
      </c>
      <c r="I26" s="188">
        <f t="shared" si="8"/>
        <v>5.97</v>
      </c>
      <c r="J26" s="128">
        <f t="shared" si="6"/>
        <v>1500</v>
      </c>
      <c r="K26" s="90">
        <f t="shared" si="3"/>
        <v>89.54</v>
      </c>
      <c r="L26" s="92" t="e">
        <f t="shared" si="5"/>
        <v>#DIV/0!</v>
      </c>
      <c r="M26" s="83" t="s">
        <v>366</v>
      </c>
      <c r="N26" s="673">
        <v>1500</v>
      </c>
      <c r="O26" s="650"/>
      <c r="P26" s="61"/>
    </row>
    <row r="27" spans="1:16" s="54" customFormat="1" ht="18" customHeight="1" x14ac:dyDescent="0.2">
      <c r="A27" s="53"/>
      <c r="B27" s="61"/>
      <c r="C27" s="216">
        <v>2280.19</v>
      </c>
      <c r="D27" s="890" t="s">
        <v>413</v>
      </c>
      <c r="E27" s="340">
        <v>558</v>
      </c>
      <c r="F27" s="352">
        <f t="shared" si="4"/>
        <v>558</v>
      </c>
      <c r="G27" s="57">
        <f>SUMIF(Payments!$O$3:$O$132,D27,Payments!$M$3:$M$134)</f>
        <v>812.67</v>
      </c>
      <c r="H27" s="127">
        <f t="shared" si="7"/>
        <v>-254.67</v>
      </c>
      <c r="I27" s="189">
        <f t="shared" si="8"/>
        <v>145.63999999999999</v>
      </c>
      <c r="J27" s="128">
        <f t="shared" si="6"/>
        <v>558</v>
      </c>
      <c r="K27" s="90">
        <f t="shared" si="3"/>
        <v>-1467.52</v>
      </c>
      <c r="L27" s="92">
        <f t="shared" si="5"/>
        <v>-0.64359999999999995</v>
      </c>
      <c r="M27" s="60" t="s">
        <v>0</v>
      </c>
      <c r="N27" s="673">
        <f>3500-N46</f>
        <v>558.25</v>
      </c>
      <c r="O27" s="650">
        <f t="shared" ref="O27:O39" si="9">(N27-E27)/E27%</f>
        <v>0.04</v>
      </c>
      <c r="P27" s="61"/>
    </row>
    <row r="28" spans="1:16" s="54" customFormat="1" ht="16.5" customHeight="1" x14ac:dyDescent="0.2">
      <c r="A28" s="53"/>
      <c r="B28" s="61"/>
      <c r="C28" s="216">
        <v>405.9</v>
      </c>
      <c r="D28" s="890" t="s">
        <v>414</v>
      </c>
      <c r="E28" s="341">
        <v>1500</v>
      </c>
      <c r="F28" s="352">
        <f t="shared" si="4"/>
        <v>1500</v>
      </c>
      <c r="G28" s="57">
        <f>SUMIF(Payments!$O$3:$O$132,D28,Payments!$M$3:$M$134)</f>
        <v>542.5</v>
      </c>
      <c r="H28" s="127">
        <f t="shared" si="7"/>
        <v>957.5</v>
      </c>
      <c r="I28" s="243">
        <f t="shared" si="8"/>
        <v>36.17</v>
      </c>
      <c r="J28" s="128">
        <f t="shared" si="6"/>
        <v>1500</v>
      </c>
      <c r="K28" s="90">
        <f t="shared" si="3"/>
        <v>136.6</v>
      </c>
      <c r="L28" s="92">
        <f t="shared" si="5"/>
        <v>0.33650000000000002</v>
      </c>
      <c r="M28" s="60" t="s">
        <v>73</v>
      </c>
      <c r="N28" s="674">
        <v>1500</v>
      </c>
      <c r="O28" s="650">
        <f t="shared" si="9"/>
        <v>0</v>
      </c>
      <c r="P28" s="125"/>
    </row>
    <row r="29" spans="1:16" s="54" customFormat="1" ht="20.100000000000001" customHeight="1" x14ac:dyDescent="0.2">
      <c r="A29" s="53"/>
      <c r="B29" s="61"/>
      <c r="C29" s="216">
        <v>2694.39</v>
      </c>
      <c r="D29" s="892" t="s">
        <v>415</v>
      </c>
      <c r="E29" s="342">
        <v>1750</v>
      </c>
      <c r="F29" s="352">
        <f t="shared" si="4"/>
        <v>1750</v>
      </c>
      <c r="G29" s="57">
        <f>SUMIF(Payments!$O$3:$O$132,D29,Payments!$M$3:$M$134)</f>
        <v>9736.7999999999993</v>
      </c>
      <c r="H29" s="127">
        <f t="shared" si="7"/>
        <v>-7986.8</v>
      </c>
      <c r="I29" s="188">
        <f t="shared" si="8"/>
        <v>556.39</v>
      </c>
      <c r="J29" s="128">
        <f t="shared" si="6"/>
        <v>1750</v>
      </c>
      <c r="K29" s="90">
        <f t="shared" si="3"/>
        <v>7042.41</v>
      </c>
      <c r="L29" s="92">
        <f t="shared" si="5"/>
        <v>2.6137000000000001</v>
      </c>
      <c r="M29" s="95" t="s">
        <v>247</v>
      </c>
      <c r="N29" s="675">
        <v>1750</v>
      </c>
      <c r="O29" s="652">
        <f t="shared" si="9"/>
        <v>0</v>
      </c>
      <c r="P29" s="61"/>
    </row>
    <row r="30" spans="1:16" s="54" customFormat="1" ht="18" customHeight="1" x14ac:dyDescent="0.2">
      <c r="A30" s="53"/>
      <c r="B30" s="61"/>
      <c r="C30" s="216">
        <v>2200</v>
      </c>
      <c r="D30" s="893" t="s">
        <v>416</v>
      </c>
      <c r="E30" s="343">
        <v>2200</v>
      </c>
      <c r="F30" s="352">
        <f t="shared" si="4"/>
        <v>2200</v>
      </c>
      <c r="G30" s="57">
        <f>SUMIF(Payments!$O$3:$O$132,D30,Payments!$M$3:$M$134)</f>
        <v>2800</v>
      </c>
      <c r="H30" s="127">
        <f t="shared" si="7"/>
        <v>-600</v>
      </c>
      <c r="I30" s="188">
        <f t="shared" si="8"/>
        <v>127.27</v>
      </c>
      <c r="J30" s="128">
        <f t="shared" si="6"/>
        <v>2200</v>
      </c>
      <c r="K30" s="90">
        <f t="shared" si="3"/>
        <v>600</v>
      </c>
      <c r="L30" s="92">
        <f t="shared" si="5"/>
        <v>0.2727</v>
      </c>
      <c r="M30" s="57" t="s">
        <v>23</v>
      </c>
      <c r="N30" s="675">
        <v>2200</v>
      </c>
      <c r="O30" s="653">
        <f t="shared" si="9"/>
        <v>0</v>
      </c>
      <c r="P30" s="61"/>
    </row>
    <row r="31" spans="1:16" s="54" customFormat="1" ht="18" customHeight="1" x14ac:dyDescent="0.2">
      <c r="A31" s="53"/>
      <c r="B31" s="61"/>
      <c r="C31" s="216">
        <v>982.39</v>
      </c>
      <c r="D31" s="890" t="s">
        <v>417</v>
      </c>
      <c r="E31" s="344">
        <v>1000</v>
      </c>
      <c r="F31" s="352">
        <f t="shared" si="4"/>
        <v>1000</v>
      </c>
      <c r="G31" s="57">
        <f>SUMIF(Payments!$O$3:$O$132,D31,Payments!$M$3:$M$134)</f>
        <v>690.22</v>
      </c>
      <c r="H31" s="127">
        <f t="shared" si="7"/>
        <v>309.77999999999997</v>
      </c>
      <c r="I31" s="188">
        <f t="shared" si="8"/>
        <v>69.02</v>
      </c>
      <c r="J31" s="128">
        <f t="shared" si="6"/>
        <v>1000</v>
      </c>
      <c r="K31" s="90">
        <f t="shared" si="3"/>
        <v>-292.17</v>
      </c>
      <c r="L31" s="92">
        <f t="shared" si="5"/>
        <v>-0.2974</v>
      </c>
      <c r="M31" s="57" t="s">
        <v>1</v>
      </c>
      <c r="N31" s="673">
        <v>1000</v>
      </c>
      <c r="O31" s="650">
        <f t="shared" si="9"/>
        <v>0</v>
      </c>
      <c r="P31" s="61"/>
    </row>
    <row r="32" spans="1:16" s="54" customFormat="1" ht="18" customHeight="1" x14ac:dyDescent="0.2">
      <c r="A32" s="53"/>
      <c r="B32" s="61"/>
      <c r="C32" s="595">
        <v>471.35</v>
      </c>
      <c r="D32" s="890" t="s">
        <v>436</v>
      </c>
      <c r="E32" s="340">
        <v>400</v>
      </c>
      <c r="F32" s="352">
        <f t="shared" ref="F32:F51" si="10">E32</f>
        <v>400</v>
      </c>
      <c r="G32" s="57">
        <f>SUMIF(Payments!$O$3:$O$132,D32,Payments!$M$3:$M$134)</f>
        <v>376.63</v>
      </c>
      <c r="H32" s="127">
        <f t="shared" si="7"/>
        <v>23.37</v>
      </c>
      <c r="I32" s="187">
        <f t="shared" si="8"/>
        <v>94.16</v>
      </c>
      <c r="J32" s="128">
        <f t="shared" si="6"/>
        <v>400</v>
      </c>
      <c r="K32" s="90">
        <f t="shared" si="3"/>
        <v>-94.72</v>
      </c>
      <c r="L32" s="92">
        <f t="shared" si="5"/>
        <v>-0.20100000000000001</v>
      </c>
      <c r="M32" s="84" t="s">
        <v>365</v>
      </c>
      <c r="N32" s="672">
        <v>400</v>
      </c>
      <c r="O32" s="651">
        <f t="shared" si="9"/>
        <v>0</v>
      </c>
      <c r="P32" s="61"/>
    </row>
    <row r="33" spans="1:16" s="54" customFormat="1" ht="18" customHeight="1" x14ac:dyDescent="0.2">
      <c r="A33" s="53"/>
      <c r="B33" s="61"/>
      <c r="C33" s="216">
        <v>348.5</v>
      </c>
      <c r="D33" s="890" t="s">
        <v>418</v>
      </c>
      <c r="E33" s="343">
        <v>300</v>
      </c>
      <c r="F33" s="352">
        <f t="shared" si="10"/>
        <v>300</v>
      </c>
      <c r="G33" s="57">
        <f>SUMIF(Payments!$O$3:$O$132,D33,Payments!$M$3:$M$134)</f>
        <v>229.5</v>
      </c>
      <c r="H33" s="127">
        <f t="shared" si="7"/>
        <v>70.5</v>
      </c>
      <c r="I33" s="188">
        <f t="shared" si="8"/>
        <v>76.5</v>
      </c>
      <c r="J33" s="128">
        <f t="shared" si="6"/>
        <v>300</v>
      </c>
      <c r="K33" s="90">
        <f t="shared" si="3"/>
        <v>-119</v>
      </c>
      <c r="L33" s="92">
        <f t="shared" si="5"/>
        <v>-0.34150000000000003</v>
      </c>
      <c r="M33" s="57" t="s">
        <v>363</v>
      </c>
      <c r="N33" s="675">
        <v>300</v>
      </c>
      <c r="O33" s="650">
        <f t="shared" si="9"/>
        <v>0</v>
      </c>
      <c r="P33" s="61"/>
    </row>
    <row r="34" spans="1:16" s="54" customFormat="1" ht="18" customHeight="1" x14ac:dyDescent="0.2">
      <c r="A34" s="53"/>
      <c r="B34" s="61"/>
      <c r="C34" s="216">
        <v>570</v>
      </c>
      <c r="D34" s="890" t="s">
        <v>419</v>
      </c>
      <c r="E34" s="345">
        <v>565</v>
      </c>
      <c r="F34" s="352">
        <f t="shared" si="10"/>
        <v>565</v>
      </c>
      <c r="G34" s="57">
        <f>SUMIF(Payments!$O$3:$O$132,D34,Payments!$M$3:$M$134)</f>
        <v>485</v>
      </c>
      <c r="H34" s="127">
        <f t="shared" si="7"/>
        <v>80</v>
      </c>
      <c r="I34" s="189">
        <f t="shared" si="8"/>
        <v>85.84</v>
      </c>
      <c r="J34" s="128">
        <f t="shared" si="6"/>
        <v>565</v>
      </c>
      <c r="K34" s="90">
        <f t="shared" si="3"/>
        <v>-85</v>
      </c>
      <c r="L34" s="92">
        <f t="shared" si="5"/>
        <v>-0.14910000000000001</v>
      </c>
      <c r="M34" s="60" t="s">
        <v>2</v>
      </c>
      <c r="N34" s="676">
        <f>265+300</f>
        <v>565</v>
      </c>
      <c r="O34" s="663">
        <f t="shared" si="9"/>
        <v>0</v>
      </c>
      <c r="P34" s="61"/>
    </row>
    <row r="35" spans="1:16" s="54" customFormat="1" ht="18" customHeight="1" x14ac:dyDescent="0.2">
      <c r="A35" s="53"/>
      <c r="B35" s="61"/>
      <c r="C35" s="216">
        <v>188.1</v>
      </c>
      <c r="D35" s="891" t="s">
        <v>420</v>
      </c>
      <c r="E35" s="343">
        <v>600</v>
      </c>
      <c r="F35" s="352">
        <f t="shared" si="10"/>
        <v>600</v>
      </c>
      <c r="G35" s="57">
        <f>SUMIF(Payments!$O$3:$O$132,D35,Payments!$M$3:$M$134)</f>
        <v>276.06</v>
      </c>
      <c r="H35" s="127">
        <f t="shared" si="7"/>
        <v>323.94</v>
      </c>
      <c r="I35" s="189">
        <f t="shared" si="8"/>
        <v>46.01</v>
      </c>
      <c r="J35" s="128">
        <f t="shared" si="6"/>
        <v>600</v>
      </c>
      <c r="K35" s="90">
        <f t="shared" si="3"/>
        <v>87.96</v>
      </c>
      <c r="L35" s="92">
        <f t="shared" si="5"/>
        <v>0.46760000000000002</v>
      </c>
      <c r="M35" s="85" t="s">
        <v>26</v>
      </c>
      <c r="N35" s="675">
        <v>600</v>
      </c>
      <c r="O35" s="650">
        <f t="shared" si="9"/>
        <v>0</v>
      </c>
      <c r="P35" s="61"/>
    </row>
    <row r="36" spans="1:16" s="54" customFormat="1" ht="18" customHeight="1" x14ac:dyDescent="0.2">
      <c r="A36" s="53"/>
      <c r="B36" s="61"/>
      <c r="C36" s="216">
        <v>0</v>
      </c>
      <c r="D36" s="890" t="s">
        <v>421</v>
      </c>
      <c r="E36" s="347">
        <v>850</v>
      </c>
      <c r="F36" s="352">
        <f t="shared" si="10"/>
        <v>850</v>
      </c>
      <c r="G36" s="57">
        <f>SUMIF(Payments!$O$3:$O$132,D36,Payments!$M$3:$M$134)</f>
        <v>0</v>
      </c>
      <c r="H36" s="127">
        <f t="shared" si="7"/>
        <v>850</v>
      </c>
      <c r="I36" s="243">
        <f t="shared" si="8"/>
        <v>0</v>
      </c>
      <c r="J36" s="128">
        <f t="shared" si="6"/>
        <v>850</v>
      </c>
      <c r="K36" s="90">
        <f t="shared" si="3"/>
        <v>0</v>
      </c>
      <c r="L36" s="92" t="e">
        <f t="shared" si="5"/>
        <v>#DIV/0!</v>
      </c>
      <c r="M36" s="57" t="s">
        <v>62</v>
      </c>
      <c r="N36" s="677">
        <v>850</v>
      </c>
      <c r="O36" s="650">
        <f t="shared" si="9"/>
        <v>0</v>
      </c>
      <c r="P36" s="61"/>
    </row>
    <row r="37" spans="1:16" s="54" customFormat="1" ht="18" customHeight="1" x14ac:dyDescent="0.2">
      <c r="A37" s="53"/>
      <c r="B37" s="61"/>
      <c r="C37" s="216">
        <v>39.99</v>
      </c>
      <c r="D37" s="890" t="s">
        <v>422</v>
      </c>
      <c r="E37" s="346">
        <v>250</v>
      </c>
      <c r="F37" s="352">
        <f t="shared" si="10"/>
        <v>250</v>
      </c>
      <c r="G37" s="57">
        <f>SUMIF(Payments!$O$3:$O$132,D37,Payments!$M$3:$M$134)</f>
        <v>54.42</v>
      </c>
      <c r="H37" s="127">
        <f t="shared" si="7"/>
        <v>195.58</v>
      </c>
      <c r="I37" s="189">
        <f t="shared" si="8"/>
        <v>21.77</v>
      </c>
      <c r="J37" s="128">
        <f t="shared" si="6"/>
        <v>250</v>
      </c>
      <c r="K37" s="90">
        <f t="shared" si="3"/>
        <v>14.43</v>
      </c>
      <c r="L37" s="92">
        <f t="shared" si="5"/>
        <v>0.36080000000000001</v>
      </c>
      <c r="M37" s="57" t="s">
        <v>76</v>
      </c>
      <c r="N37" s="674">
        <v>250</v>
      </c>
      <c r="O37" s="650">
        <f t="shared" si="9"/>
        <v>0</v>
      </c>
      <c r="P37" s="61"/>
    </row>
    <row r="38" spans="1:16" s="54" customFormat="1" ht="18" customHeight="1" x14ac:dyDescent="0.2">
      <c r="A38" s="53"/>
      <c r="B38" s="61"/>
      <c r="C38" s="216">
        <v>0</v>
      </c>
      <c r="D38" s="890" t="s">
        <v>423</v>
      </c>
      <c r="E38" s="346">
        <v>41</v>
      </c>
      <c r="F38" s="352">
        <f t="shared" si="10"/>
        <v>41</v>
      </c>
      <c r="G38" s="57">
        <f>SUMIF(Payments!$O$3:$O$132,D38,Payments!$M$3:$M$134)</f>
        <v>0</v>
      </c>
      <c r="H38" s="127">
        <f t="shared" si="7"/>
        <v>41</v>
      </c>
      <c r="I38" s="189">
        <f>G39/E39*100</f>
        <v>0</v>
      </c>
      <c r="J38" s="128">
        <f t="shared" si="6"/>
        <v>41</v>
      </c>
      <c r="K38" s="90">
        <f t="shared" si="3"/>
        <v>0</v>
      </c>
      <c r="L38" s="92" t="e">
        <f t="shared" si="5"/>
        <v>#DIV/0!</v>
      </c>
      <c r="M38" s="57" t="s">
        <v>78</v>
      </c>
      <c r="N38" s="674">
        <v>41</v>
      </c>
      <c r="O38" s="650">
        <f t="shared" si="9"/>
        <v>0</v>
      </c>
      <c r="P38" s="61"/>
    </row>
    <row r="39" spans="1:16" s="54" customFormat="1" ht="18" customHeight="1" x14ac:dyDescent="0.2">
      <c r="A39" s="53"/>
      <c r="B39" s="61"/>
      <c r="C39" s="216">
        <v>0</v>
      </c>
      <c r="D39" s="891" t="s">
        <v>424</v>
      </c>
      <c r="E39" s="346">
        <v>3000</v>
      </c>
      <c r="F39" s="352">
        <f t="shared" si="10"/>
        <v>3000</v>
      </c>
      <c r="G39" s="57">
        <f>SUMIF(Payments!$O$3:$O$132,D39,Payments!$M$3:$M$134)</f>
        <v>0</v>
      </c>
      <c r="H39" s="127">
        <f t="shared" si="7"/>
        <v>3000</v>
      </c>
      <c r="I39" s="189">
        <f>G39/E39*100</f>
        <v>0</v>
      </c>
      <c r="J39" s="128"/>
      <c r="K39" s="90">
        <f t="shared" si="3"/>
        <v>0</v>
      </c>
      <c r="L39" s="92" t="e">
        <f t="shared" si="5"/>
        <v>#DIV/0!</v>
      </c>
      <c r="M39" s="83" t="s">
        <v>75</v>
      </c>
      <c r="N39" s="674">
        <v>3000</v>
      </c>
      <c r="O39" s="650">
        <f t="shared" si="9"/>
        <v>0</v>
      </c>
      <c r="P39" s="61"/>
    </row>
    <row r="40" spans="1:16" s="54" customFormat="1" ht="18" customHeight="1" x14ac:dyDescent="0.2">
      <c r="A40" s="53"/>
      <c r="B40" s="61"/>
      <c r="C40" s="216">
        <v>0</v>
      </c>
      <c r="D40" s="891" t="s">
        <v>425</v>
      </c>
      <c r="E40" s="346">
        <v>1000</v>
      </c>
      <c r="F40" s="352">
        <f t="shared" si="10"/>
        <v>1000</v>
      </c>
      <c r="G40" s="57">
        <f>SUMIF(Payments!$O$3:$O$132,D40,Payments!$M$3:$M$134)</f>
        <v>53.33</v>
      </c>
      <c r="H40" s="127">
        <f t="shared" si="7"/>
        <v>946.67</v>
      </c>
      <c r="I40" s="189"/>
      <c r="J40" s="128">
        <f t="shared" si="6"/>
        <v>1000</v>
      </c>
      <c r="K40" s="90">
        <f t="shared" si="3"/>
        <v>53.33</v>
      </c>
      <c r="L40" s="92" t="e">
        <f t="shared" si="5"/>
        <v>#DIV/0!</v>
      </c>
      <c r="M40" s="83" t="s">
        <v>233</v>
      </c>
      <c r="N40" s="674">
        <v>1000</v>
      </c>
      <c r="O40" s="650"/>
      <c r="P40" s="61"/>
    </row>
    <row r="41" spans="1:16" s="54" customFormat="1" ht="18" customHeight="1" x14ac:dyDescent="0.2">
      <c r="A41" s="53"/>
      <c r="B41" s="61"/>
      <c r="C41" s="216">
        <v>2700</v>
      </c>
      <c r="D41" s="894" t="s">
        <v>426</v>
      </c>
      <c r="E41" s="347">
        <v>1000</v>
      </c>
      <c r="F41" s="352">
        <f t="shared" si="10"/>
        <v>1000</v>
      </c>
      <c r="G41" s="57">
        <f>SUMIF(Payments!$O$3:$O$132,D41,Payments!$M$3:$M$134)</f>
        <v>0</v>
      </c>
      <c r="H41" s="127">
        <f t="shared" si="7"/>
        <v>1000</v>
      </c>
      <c r="I41" s="189">
        <f>G41/E41*100</f>
        <v>0</v>
      </c>
      <c r="J41" s="128">
        <f t="shared" si="6"/>
        <v>1000</v>
      </c>
      <c r="K41" s="90">
        <f t="shared" si="3"/>
        <v>-2700</v>
      </c>
      <c r="L41" s="92">
        <f t="shared" si="5"/>
        <v>-1</v>
      </c>
      <c r="M41" s="83" t="s">
        <v>303</v>
      </c>
      <c r="N41" s="678">
        <v>1000</v>
      </c>
      <c r="O41" s="650"/>
      <c r="P41" s="61"/>
    </row>
    <row r="42" spans="1:16" s="207" customFormat="1" ht="18" customHeight="1" x14ac:dyDescent="0.2">
      <c r="A42" s="53"/>
      <c r="B42" s="61"/>
      <c r="C42" s="216">
        <v>6105</v>
      </c>
      <c r="D42" s="891" t="s">
        <v>427</v>
      </c>
      <c r="E42" s="347">
        <v>2500</v>
      </c>
      <c r="F42" s="352">
        <f t="shared" si="10"/>
        <v>2500</v>
      </c>
      <c r="G42" s="57">
        <f>SUMIF(Payments!$O$3:$O$132,D42,Payments!$M$3:$M$134)</f>
        <v>1571</v>
      </c>
      <c r="H42" s="127">
        <f t="shared" si="7"/>
        <v>929</v>
      </c>
      <c r="I42" s="189">
        <f>G42/E42*100</f>
        <v>62.84</v>
      </c>
      <c r="J42" s="128">
        <f t="shared" si="6"/>
        <v>2500</v>
      </c>
      <c r="K42" s="90">
        <f t="shared" si="3"/>
        <v>-4534</v>
      </c>
      <c r="L42" s="92">
        <f t="shared" si="5"/>
        <v>-0.74270000000000003</v>
      </c>
      <c r="M42" s="83" t="s">
        <v>240</v>
      </c>
      <c r="N42" s="677">
        <v>2500</v>
      </c>
      <c r="O42" s="650">
        <f>(N42-E41)/E41%</f>
        <v>150</v>
      </c>
      <c r="P42" s="61"/>
    </row>
    <row r="43" spans="1:16" s="207" customFormat="1" ht="18" customHeight="1" x14ac:dyDescent="0.2">
      <c r="A43" s="53"/>
      <c r="B43" s="61"/>
      <c r="C43" s="216"/>
      <c r="D43" s="891" t="s">
        <v>428</v>
      </c>
      <c r="E43" s="347">
        <v>2500</v>
      </c>
      <c r="F43" s="352">
        <f t="shared" si="10"/>
        <v>2500</v>
      </c>
      <c r="G43" s="57">
        <f>SUMIF(Payments!$O$3:$O$132,D43,Payments!$M$3:$M$134)</f>
        <v>0</v>
      </c>
      <c r="H43" s="127">
        <f t="shared" ref="H43:H51" si="11">F43-G43</f>
        <v>2500</v>
      </c>
      <c r="I43" s="189">
        <f t="shared" ref="I43:I51" si="12">G43/E43*100</f>
        <v>0</v>
      </c>
      <c r="J43" s="128">
        <f t="shared" si="6"/>
        <v>2500</v>
      </c>
      <c r="K43" s="90">
        <f t="shared" si="3"/>
        <v>0</v>
      </c>
      <c r="L43" s="92" t="e">
        <f t="shared" si="5"/>
        <v>#DIV/0!</v>
      </c>
      <c r="M43" s="83" t="s">
        <v>324</v>
      </c>
      <c r="N43" s="678">
        <v>2500</v>
      </c>
      <c r="O43" s="650"/>
      <c r="P43" s="61"/>
    </row>
    <row r="44" spans="1:16" s="364" customFormat="1" ht="18" customHeight="1" x14ac:dyDescent="0.2">
      <c r="A44" s="53"/>
      <c r="B44" s="61"/>
      <c r="C44" s="216">
        <v>134.88999999999999</v>
      </c>
      <c r="D44" s="891" t="s">
        <v>577</v>
      </c>
      <c r="E44" s="347">
        <v>6000</v>
      </c>
      <c r="F44" s="352">
        <f t="shared" si="10"/>
        <v>6000</v>
      </c>
      <c r="G44" s="57">
        <f>SUMIF(Payments!$O$3:$O$132,D44,Payments!$M$3:$M$134)</f>
        <v>1513.12</v>
      </c>
      <c r="H44" s="127">
        <f t="shared" si="11"/>
        <v>4486.88</v>
      </c>
      <c r="I44" s="189">
        <f t="shared" si="12"/>
        <v>25.22</v>
      </c>
      <c r="J44" s="128">
        <f t="shared" si="6"/>
        <v>6000</v>
      </c>
      <c r="K44" s="90">
        <f t="shared" si="3"/>
        <v>1378.23</v>
      </c>
      <c r="L44" s="92">
        <f t="shared" si="5"/>
        <v>10.2174</v>
      </c>
      <c r="M44" s="83" t="s">
        <v>584</v>
      </c>
      <c r="N44" s="678">
        <v>6000</v>
      </c>
      <c r="O44" s="650"/>
      <c r="P44" s="61"/>
    </row>
    <row r="45" spans="1:16" s="583" customFormat="1" ht="18" customHeight="1" x14ac:dyDescent="0.2">
      <c r="A45" s="53"/>
      <c r="B45" s="61"/>
      <c r="C45" s="216">
        <v>243.4</v>
      </c>
      <c r="D45" s="891" t="s">
        <v>429</v>
      </c>
      <c r="E45" s="347">
        <v>500</v>
      </c>
      <c r="F45" s="352">
        <f t="shared" si="10"/>
        <v>500</v>
      </c>
      <c r="G45" s="57">
        <f>SUMIF(Payments!$O$3:$O$132,D45,Payments!$M$3:$M$134)</f>
        <v>114.76</v>
      </c>
      <c r="H45" s="127">
        <f t="shared" si="11"/>
        <v>385.24</v>
      </c>
      <c r="I45" s="189">
        <f t="shared" si="12"/>
        <v>22.95</v>
      </c>
      <c r="J45" s="128">
        <f t="shared" si="6"/>
        <v>500</v>
      </c>
      <c r="K45" s="90">
        <f t="shared" si="3"/>
        <v>-128.63999999999999</v>
      </c>
      <c r="L45" s="92">
        <f t="shared" si="5"/>
        <v>-0.52849999999999997</v>
      </c>
      <c r="M45" s="83" t="s">
        <v>339</v>
      </c>
      <c r="N45" s="678">
        <v>500</v>
      </c>
      <c r="O45" s="650"/>
      <c r="P45" s="61"/>
    </row>
    <row r="46" spans="1:16" s="581" customFormat="1" ht="18" customHeight="1" x14ac:dyDescent="0.2">
      <c r="A46" s="53"/>
      <c r="B46" s="61"/>
      <c r="C46" s="216"/>
      <c r="D46" s="891" t="s">
        <v>430</v>
      </c>
      <c r="E46" s="347">
        <v>2942</v>
      </c>
      <c r="F46" s="352">
        <f t="shared" si="10"/>
        <v>2942</v>
      </c>
      <c r="G46" s="57">
        <f>SUMIF(Payments!$O$3:$O$132,D46,Payments!$M$3:$M$134)</f>
        <v>0</v>
      </c>
      <c r="H46" s="127">
        <f t="shared" si="11"/>
        <v>2942</v>
      </c>
      <c r="I46" s="189">
        <f t="shared" si="12"/>
        <v>0</v>
      </c>
      <c r="J46" s="128">
        <f t="shared" si="6"/>
        <v>2942</v>
      </c>
      <c r="K46" s="90">
        <f t="shared" si="3"/>
        <v>0</v>
      </c>
      <c r="L46" s="92" t="e">
        <f t="shared" si="5"/>
        <v>#DIV/0!</v>
      </c>
      <c r="M46" s="83" t="s">
        <v>362</v>
      </c>
      <c r="N46" s="752">
        <f>11767/4</f>
        <v>2941.75</v>
      </c>
      <c r="O46" s="650"/>
      <c r="P46" s="61"/>
    </row>
    <row r="47" spans="1:16" s="581" customFormat="1" ht="18" customHeight="1" x14ac:dyDescent="0.2">
      <c r="A47" s="53"/>
      <c r="B47" s="61"/>
      <c r="C47" s="216">
        <v>5000</v>
      </c>
      <c r="D47" s="891" t="s">
        <v>431</v>
      </c>
      <c r="E47" s="347">
        <v>26000</v>
      </c>
      <c r="F47" s="352">
        <f t="shared" si="10"/>
        <v>26000</v>
      </c>
      <c r="G47" s="57">
        <f>SUMIF(Payments!$O$3:$O$132,D47,Payments!$M$3:$M$134)</f>
        <v>10500</v>
      </c>
      <c r="H47" s="127">
        <f t="shared" si="11"/>
        <v>15500</v>
      </c>
      <c r="I47" s="189">
        <f t="shared" si="12"/>
        <v>40.380000000000003</v>
      </c>
      <c r="J47" s="128">
        <f t="shared" si="6"/>
        <v>26000</v>
      </c>
      <c r="K47" s="90">
        <f t="shared" si="3"/>
        <v>5500</v>
      </c>
      <c r="L47" s="92">
        <f t="shared" si="5"/>
        <v>1.1000000000000001</v>
      </c>
      <c r="M47" s="83" t="s">
        <v>364</v>
      </c>
      <c r="N47" s="752">
        <v>26000</v>
      </c>
      <c r="O47" s="650"/>
      <c r="P47" s="61"/>
    </row>
    <row r="48" spans="1:16" s="606" customFormat="1" ht="18" customHeight="1" x14ac:dyDescent="0.2">
      <c r="A48" s="53"/>
      <c r="B48" s="61"/>
      <c r="C48" s="216"/>
      <c r="D48" s="891" t="s">
        <v>432</v>
      </c>
      <c r="E48" s="347">
        <v>7673</v>
      </c>
      <c r="F48" s="352">
        <f t="shared" si="10"/>
        <v>7673</v>
      </c>
      <c r="G48" s="57">
        <f>SUMIF(Payments!$O$3:$O$132,D48,Payments!$M$3:$M$134)</f>
        <v>0</v>
      </c>
      <c r="H48" s="127">
        <f t="shared" si="11"/>
        <v>7673</v>
      </c>
      <c r="I48" s="189">
        <f t="shared" si="12"/>
        <v>0</v>
      </c>
      <c r="J48" s="128">
        <f t="shared" si="6"/>
        <v>7673</v>
      </c>
      <c r="K48" s="90">
        <f t="shared" si="3"/>
        <v>0</v>
      </c>
      <c r="L48" s="92" t="e">
        <f t="shared" si="5"/>
        <v>#DIV/0!</v>
      </c>
      <c r="M48" s="83" t="s">
        <v>367</v>
      </c>
      <c r="N48" s="752">
        <v>7673</v>
      </c>
      <c r="O48" s="650"/>
      <c r="P48" s="61"/>
    </row>
    <row r="49" spans="1:16" s="606" customFormat="1" ht="18" customHeight="1" x14ac:dyDescent="0.2">
      <c r="A49" s="53"/>
      <c r="B49" s="61"/>
      <c r="C49" s="216"/>
      <c r="D49" s="896" t="s">
        <v>433</v>
      </c>
      <c r="E49" s="347">
        <f>SUM(E19:E48)</f>
        <v>77429</v>
      </c>
      <c r="F49" s="352">
        <f t="shared" si="10"/>
        <v>77429</v>
      </c>
      <c r="G49" s="57">
        <f>SUMIF(Payments!$O$3:$O$132,D49,Payments!$M$3:$M$134)</f>
        <v>0</v>
      </c>
      <c r="H49" s="127">
        <f t="shared" si="11"/>
        <v>77429</v>
      </c>
      <c r="I49" s="189">
        <f t="shared" si="12"/>
        <v>0</v>
      </c>
      <c r="J49" s="128">
        <f t="shared" si="6"/>
        <v>77429</v>
      </c>
      <c r="K49" s="90">
        <f t="shared" si="3"/>
        <v>0</v>
      </c>
      <c r="L49" s="92" t="e">
        <f t="shared" si="5"/>
        <v>#DIV/0!</v>
      </c>
      <c r="M49" s="83" t="s">
        <v>338</v>
      </c>
      <c r="N49" s="752">
        <v>11767</v>
      </c>
      <c r="O49" s="650"/>
      <c r="P49" s="61"/>
    </row>
    <row r="50" spans="1:16" s="581" customFormat="1" ht="18" customHeight="1" x14ac:dyDescent="0.2">
      <c r="A50" s="53"/>
      <c r="B50" s="61"/>
      <c r="C50" s="216"/>
      <c r="D50" s="895" t="s">
        <v>434</v>
      </c>
      <c r="E50" s="347"/>
      <c r="F50" s="352">
        <f t="shared" si="10"/>
        <v>0</v>
      </c>
      <c r="G50" s="57">
        <f>SUMIF(Payments!$O$3:$O$132,D50,Payments!$M$3:$M$134)</f>
        <v>0</v>
      </c>
      <c r="H50" s="127">
        <f t="shared" si="11"/>
        <v>0</v>
      </c>
      <c r="I50" s="189" t="e">
        <f t="shared" si="12"/>
        <v>#DIV/0!</v>
      </c>
      <c r="J50" s="128">
        <f t="shared" si="6"/>
        <v>0</v>
      </c>
      <c r="K50" s="90"/>
      <c r="L50" s="92" t="e">
        <f t="shared" si="5"/>
        <v>#DIV/0!</v>
      </c>
      <c r="M50" s="83"/>
      <c r="N50" s="752">
        <f>SUM(N23:N49)</f>
        <v>78446</v>
      </c>
      <c r="O50" s="650"/>
      <c r="P50" s="61"/>
    </row>
    <row r="51" spans="1:16" s="248" customFormat="1" ht="18" customHeight="1" x14ac:dyDescent="0.2">
      <c r="A51" s="53"/>
      <c r="B51" s="61"/>
      <c r="C51" s="216"/>
      <c r="D51" s="891" t="s">
        <v>435</v>
      </c>
      <c r="E51" s="347">
        <v>12000</v>
      </c>
      <c r="F51" s="352">
        <f t="shared" si="10"/>
        <v>12000</v>
      </c>
      <c r="G51" s="57">
        <f>SUMIF(Payments!$O$3:$O$132,D51,Payments!$M$3:$M$134)</f>
        <v>0</v>
      </c>
      <c r="H51" s="127">
        <f t="shared" si="11"/>
        <v>12000</v>
      </c>
      <c r="I51" s="189">
        <f t="shared" si="12"/>
        <v>0</v>
      </c>
      <c r="J51" s="128">
        <f t="shared" si="6"/>
        <v>12000</v>
      </c>
      <c r="K51" s="90">
        <f>G50-C50</f>
        <v>0</v>
      </c>
      <c r="L51" s="92" t="e">
        <f>K51/C50</f>
        <v>#DIV/0!</v>
      </c>
      <c r="M51" s="89" t="s">
        <v>47</v>
      </c>
      <c r="N51" s="679">
        <f>SUM(N19:N50)</f>
        <v>167642</v>
      </c>
      <c r="O51" s="654">
        <f>(N51-E52)/E52*100</f>
        <v>87.46</v>
      </c>
      <c r="P51" s="61"/>
    </row>
    <row r="52" spans="1:16" s="54" customFormat="1" ht="20.100000000000001" customHeight="1" x14ac:dyDescent="0.2">
      <c r="A52" s="53"/>
      <c r="B52" s="61"/>
      <c r="C52" s="596">
        <f>SUM(C19:C51)</f>
        <v>34836.04</v>
      </c>
      <c r="D52" s="639" t="s">
        <v>47</v>
      </c>
      <c r="E52" s="348">
        <f>SUM(E49:E51)</f>
        <v>89429</v>
      </c>
      <c r="F52" s="348">
        <f>SUM(F49:F51)</f>
        <v>89429</v>
      </c>
      <c r="G52" s="86">
        <f>SUM(G22:G51)</f>
        <v>41664.89</v>
      </c>
      <c r="H52" s="87"/>
      <c r="I52" s="190">
        <f>G51/E52*100</f>
        <v>0</v>
      </c>
      <c r="J52" s="86">
        <f>SUM(J19:J51)</f>
        <v>163858</v>
      </c>
      <c r="K52" s="88">
        <f>G52-C52</f>
        <v>6828.85</v>
      </c>
      <c r="L52" s="91"/>
      <c r="M52" s="1040" t="s">
        <v>337</v>
      </c>
      <c r="N52" s="1041"/>
      <c r="O52" s="655"/>
      <c r="P52" s="61"/>
    </row>
    <row r="53" spans="1:16" s="54" customFormat="1" ht="20.100000000000001" customHeight="1" x14ac:dyDescent="0.2">
      <c r="A53" s="53"/>
      <c r="B53" s="165"/>
      <c r="C53" s="216"/>
      <c r="D53" s="640" t="s">
        <v>337</v>
      </c>
      <c r="E53" s="594"/>
      <c r="F53" s="352"/>
      <c r="G53" s="57">
        <f>SUMIF(Payments!$O$5:$O$132,D53,Payments!$M$5:$M$134)</f>
        <v>0</v>
      </c>
      <c r="H53" s="57"/>
      <c r="I53" s="290"/>
      <c r="J53" s="63"/>
      <c r="K53" s="291"/>
      <c r="L53" s="65"/>
      <c r="M53" s="584" t="s">
        <v>338</v>
      </c>
      <c r="N53" s="752">
        <v>12000</v>
      </c>
      <c r="O53" s="659"/>
      <c r="P53" s="61"/>
    </row>
    <row r="54" spans="1:16" s="54" customFormat="1" ht="20.100000000000001" customHeight="1" x14ac:dyDescent="0.2">
      <c r="A54" s="53"/>
      <c r="B54" s="61"/>
      <c r="C54" s="597"/>
      <c r="D54" s="632" t="s">
        <v>304</v>
      </c>
      <c r="E54" s="349">
        <v>55245</v>
      </c>
      <c r="F54" s="352">
        <f t="shared" ref="F54:F57" si="13">E54</f>
        <v>55245</v>
      </c>
      <c r="G54" s="57">
        <f>SUMIF(Payments!$O$5:$O$132,D54,Payments!$M$5:$M$134)</f>
        <v>0</v>
      </c>
      <c r="H54" s="127">
        <f t="shared" ref="H54:H60" si="14">F54-G54</f>
        <v>55245</v>
      </c>
      <c r="I54" s="189">
        <f t="shared" ref="I54:I60" si="15">G54/E54*100</f>
        <v>0</v>
      </c>
      <c r="J54" s="128"/>
      <c r="K54" s="65"/>
      <c r="L54" s="65"/>
      <c r="M54" s="584"/>
      <c r="N54" s="752"/>
      <c r="O54" s="659"/>
      <c r="P54" s="61"/>
    </row>
    <row r="55" spans="1:16" s="583" customFormat="1" ht="20.100000000000001" customHeight="1" x14ac:dyDescent="0.2">
      <c r="A55" s="61"/>
      <c r="B55" s="61"/>
      <c r="C55" s="597"/>
      <c r="D55" s="632" t="s">
        <v>71</v>
      </c>
      <c r="E55" s="349">
        <v>45635</v>
      </c>
      <c r="F55" s="352">
        <f t="shared" si="13"/>
        <v>45635</v>
      </c>
      <c r="G55" s="57">
        <f>SUMIF(Payments!$O$5:$O$132,D55,Payments!$M$5:$M$134)</f>
        <v>0</v>
      </c>
      <c r="H55" s="127">
        <f t="shared" si="14"/>
        <v>45635</v>
      </c>
      <c r="I55" s="189">
        <f t="shared" si="15"/>
        <v>0</v>
      </c>
      <c r="J55" s="128"/>
      <c r="K55" s="65"/>
      <c r="L55" s="65"/>
      <c r="M55" s="64" t="s">
        <v>304</v>
      </c>
      <c r="N55" s="680">
        <v>55245</v>
      </c>
      <c r="O55" s="659"/>
      <c r="P55" s="61"/>
    </row>
    <row r="56" spans="1:16" s="583" customFormat="1" ht="20.100000000000001" customHeight="1" x14ac:dyDescent="0.2">
      <c r="A56" s="61"/>
      <c r="B56" s="61"/>
      <c r="C56" s="82"/>
      <c r="D56" s="632" t="s">
        <v>340</v>
      </c>
      <c r="E56" s="349">
        <v>6000</v>
      </c>
      <c r="F56" s="352">
        <f t="shared" si="13"/>
        <v>6000</v>
      </c>
      <c r="G56" s="57">
        <f>SUMIF(Payments!$O$5:$O$132,D56,Payments!$M$5:$M$134)</f>
        <v>0</v>
      </c>
      <c r="H56" s="127">
        <f t="shared" si="14"/>
        <v>6000</v>
      </c>
      <c r="I56" s="189">
        <f t="shared" si="15"/>
        <v>0</v>
      </c>
      <c r="J56" s="128"/>
      <c r="K56" s="65"/>
      <c r="L56" s="65"/>
      <c r="M56" s="57" t="s">
        <v>71</v>
      </c>
      <c r="N56" s="680">
        <v>45635</v>
      </c>
      <c r="O56" s="659"/>
      <c r="P56" s="61"/>
    </row>
    <row r="57" spans="1:16" ht="20.100000000000001" customHeight="1" x14ac:dyDescent="0.25">
      <c r="C57" s="82"/>
      <c r="D57" s="632" t="s">
        <v>341</v>
      </c>
      <c r="E57" s="350">
        <v>2000</v>
      </c>
      <c r="F57" s="352">
        <f t="shared" si="13"/>
        <v>2000</v>
      </c>
      <c r="G57" s="57">
        <f>SUMIF(Payments!$O$5:$O$132,D57,Payments!$M$5:$M$134)</f>
        <v>0</v>
      </c>
      <c r="H57" s="127">
        <f t="shared" si="14"/>
        <v>2000</v>
      </c>
      <c r="I57" s="189">
        <f t="shared" si="15"/>
        <v>0</v>
      </c>
      <c r="J57" s="128"/>
      <c r="K57" s="65"/>
      <c r="L57" s="65"/>
      <c r="M57" s="57" t="s">
        <v>340</v>
      </c>
      <c r="N57" s="680">
        <v>6000</v>
      </c>
      <c r="O57" s="659"/>
      <c r="P57" s="61"/>
    </row>
    <row r="58" spans="1:16" x14ac:dyDescent="0.2">
      <c r="C58" s="191">
        <v>23535</v>
      </c>
      <c r="D58" s="632" t="s">
        <v>439</v>
      </c>
      <c r="E58" s="349"/>
      <c r="F58" s="352"/>
      <c r="G58" s="57">
        <f>SUMIF(Payments!$O$5:$O$132,D58,Payments!$M$5:$M$134)</f>
        <v>0</v>
      </c>
      <c r="H58" s="127">
        <f t="shared" si="14"/>
        <v>0</v>
      </c>
      <c r="I58" s="189" t="e">
        <f t="shared" si="15"/>
        <v>#DIV/0!</v>
      </c>
      <c r="J58" s="128"/>
      <c r="K58" s="90">
        <f t="shared" ref="K58:K59" si="16">G58-C58</f>
        <v>-23535</v>
      </c>
      <c r="L58" s="65"/>
      <c r="M58" s="57" t="s">
        <v>341</v>
      </c>
      <c r="N58" s="680">
        <v>2000</v>
      </c>
      <c r="O58" s="659"/>
      <c r="P58" s="61"/>
    </row>
    <row r="59" spans="1:16" ht="19.5" customHeight="1" x14ac:dyDescent="0.25">
      <c r="B59" s="223"/>
      <c r="C59" s="191">
        <v>14684</v>
      </c>
      <c r="D59" s="632" t="s">
        <v>440</v>
      </c>
      <c r="E59" s="349"/>
      <c r="F59" s="352"/>
      <c r="G59" s="57">
        <f>SUMIF(Payments!$O$5:$O$132,D59,Payments!$M$5:$M$134)</f>
        <v>0</v>
      </c>
      <c r="H59" s="127">
        <f t="shared" si="14"/>
        <v>0</v>
      </c>
      <c r="I59" s="189" t="e">
        <f t="shared" si="15"/>
        <v>#DIV/0!</v>
      </c>
      <c r="J59" s="225"/>
      <c r="K59" s="90">
        <f t="shared" si="16"/>
        <v>-14684</v>
      </c>
      <c r="L59" s="226"/>
      <c r="M59" s="224" t="s">
        <v>74</v>
      </c>
      <c r="N59" s="681">
        <f>N13+N14</f>
        <v>89196</v>
      </c>
      <c r="O59" s="659"/>
      <c r="P59" s="61"/>
    </row>
    <row r="60" spans="1:16" ht="15.75" thickBot="1" x14ac:dyDescent="0.3">
      <c r="C60" s="598">
        <f>SUM(C52:C59)</f>
        <v>73055.039999999994</v>
      </c>
      <c r="D60" s="885" t="s">
        <v>468</v>
      </c>
      <c r="E60" s="886">
        <f>E55+E54+E56+E57+E52</f>
        <v>198309</v>
      </c>
      <c r="F60" s="887">
        <f>E60</f>
        <v>198309</v>
      </c>
      <c r="G60" s="886">
        <f>G55+G54+G56+G57+G52</f>
        <v>41664.89</v>
      </c>
      <c r="H60" s="127">
        <f t="shared" si="14"/>
        <v>156644.10999999999</v>
      </c>
      <c r="I60" s="189">
        <f t="shared" si="15"/>
        <v>21.01</v>
      </c>
      <c r="J60" s="130"/>
      <c r="K60" s="65"/>
      <c r="L60" s="65"/>
      <c r="M60" s="641" t="s">
        <v>248</v>
      </c>
      <c r="N60" s="682">
        <f>N56+N55+N57+N58+N53</f>
        <v>120880</v>
      </c>
      <c r="O60" s="664"/>
      <c r="P60" s="54"/>
    </row>
    <row r="61" spans="1:16" ht="15.75" thickBot="1" x14ac:dyDescent="0.25">
      <c r="C61" s="599"/>
      <c r="D61" s="885" t="s">
        <v>69</v>
      </c>
      <c r="E61" s="886">
        <f>E55+E54+E56+E57</f>
        <v>108880</v>
      </c>
      <c r="F61" s="887">
        <f>E61</f>
        <v>108880</v>
      </c>
      <c r="G61" s="886">
        <f>G55+G54+G56+G57</f>
        <v>0</v>
      </c>
      <c r="H61" s="641"/>
      <c r="I61" s="642"/>
      <c r="J61" s="643"/>
      <c r="K61" s="644"/>
      <c r="L61" s="644"/>
      <c r="M61" s="247"/>
      <c r="N61" s="615">
        <f>SUM(N59:N60)</f>
        <v>210076</v>
      </c>
      <c r="O61" s="260"/>
      <c r="P61" s="61"/>
    </row>
    <row r="62" spans="1:16" s="259" customFormat="1" ht="21.75" hidden="1" customHeight="1" x14ac:dyDescent="0.2">
      <c r="D62" s="260"/>
      <c r="E62" s="260">
        <f>G59-G19+Payments!N128</f>
        <v>-6245.98</v>
      </c>
      <c r="F62" s="335"/>
      <c r="G62" s="285">
        <f>SUM(G53:G53)</f>
        <v>0</v>
      </c>
      <c r="H62" s="1037" t="s">
        <v>249</v>
      </c>
      <c r="I62" s="1037"/>
      <c r="J62" s="261">
        <f>J16-J59</f>
        <v>175429</v>
      </c>
      <c r="K62" s="262" t="s">
        <v>250</v>
      </c>
      <c r="L62" s="260"/>
      <c r="M62" s="62" t="s">
        <v>10</v>
      </c>
      <c r="N62" s="229"/>
      <c r="O62" s="260"/>
      <c r="P62" s="260"/>
    </row>
    <row r="63" spans="1:16" s="259" customFormat="1" hidden="1" x14ac:dyDescent="0.2">
      <c r="D63" s="260"/>
      <c r="E63" s="260"/>
      <c r="F63" s="335"/>
      <c r="G63" s="285">
        <f>G62-G53-10000</f>
        <v>-10000</v>
      </c>
      <c r="H63" s="1036" t="s">
        <v>229</v>
      </c>
      <c r="I63" s="1036"/>
      <c r="J63" s="285">
        <f>Balances!C15</f>
        <v>113223</v>
      </c>
      <c r="K63" s="285"/>
      <c r="L63" s="285"/>
      <c r="M63" s="260"/>
      <c r="N63" s="263">
        <f>SUM(N60:N62)</f>
        <v>330956</v>
      </c>
      <c r="O63" s="260"/>
      <c r="P63" s="260"/>
    </row>
    <row r="64" spans="1:16" s="259" customFormat="1" hidden="1" x14ac:dyDescent="0.2">
      <c r="D64" s="260"/>
      <c r="E64" s="260"/>
      <c r="F64" s="335"/>
      <c r="G64" s="285">
        <f>12000-G63</f>
        <v>22000</v>
      </c>
      <c r="H64" s="1036" t="s">
        <v>230</v>
      </c>
      <c r="I64" s="1036"/>
      <c r="J64" s="285">
        <f>J16-G16</f>
        <v>113653.17</v>
      </c>
      <c r="K64" s="285"/>
      <c r="L64" s="285"/>
      <c r="M64" s="285"/>
      <c r="N64" s="263" t="s">
        <v>325</v>
      </c>
      <c r="O64" s="260"/>
      <c r="P64" s="260"/>
    </row>
    <row r="65" spans="4:16" s="259" customFormat="1" ht="15" hidden="1" customHeight="1" x14ac:dyDescent="0.2">
      <c r="D65" s="260"/>
      <c r="E65" s="260"/>
      <c r="F65" s="335"/>
      <c r="G65" s="751" t="s">
        <v>232</v>
      </c>
      <c r="H65" s="1036" t="s">
        <v>231</v>
      </c>
      <c r="I65" s="1036"/>
      <c r="J65" s="285">
        <f>J52-G51-J40</f>
        <v>162858</v>
      </c>
      <c r="K65" s="285">
        <f>J52-G51</f>
        <v>163858</v>
      </c>
      <c r="L65" s="285"/>
      <c r="M65" s="285"/>
      <c r="N65" s="263"/>
      <c r="O65" s="260"/>
      <c r="P65" s="260"/>
    </row>
    <row r="66" spans="4:16" s="259" customFormat="1" hidden="1" x14ac:dyDescent="0.2">
      <c r="D66" s="260"/>
      <c r="E66" s="260"/>
      <c r="F66" s="335"/>
      <c r="G66" s="285"/>
      <c r="H66" s="751"/>
      <c r="I66" s="751"/>
      <c r="J66" s="286">
        <f>J63+J64-J65</f>
        <v>64018.17</v>
      </c>
      <c r="K66" s="287" t="s">
        <v>239</v>
      </c>
      <c r="L66" s="285"/>
      <c r="M66" s="285"/>
      <c r="N66" s="616">
        <f>N59-N16</f>
        <v>-120880</v>
      </c>
      <c r="O66" s="260"/>
      <c r="P66" s="260"/>
    </row>
    <row r="67" spans="4:16" s="259" customFormat="1" hidden="1" x14ac:dyDescent="0.2">
      <c r="D67" s="260"/>
      <c r="E67" s="260"/>
      <c r="F67" s="335"/>
      <c r="G67" s="285"/>
      <c r="H67" s="285"/>
      <c r="I67" s="285"/>
      <c r="J67" s="285"/>
      <c r="K67" s="285"/>
      <c r="L67" s="285"/>
      <c r="M67" s="285"/>
      <c r="N67" s="263"/>
      <c r="O67" s="56"/>
      <c r="P67" s="260"/>
    </row>
    <row r="68" spans="4:16" hidden="1" x14ac:dyDescent="0.2">
      <c r="D68" s="54"/>
      <c r="G68" s="285"/>
      <c r="H68" s="285"/>
      <c r="I68" s="285"/>
      <c r="J68" s="285"/>
      <c r="K68" s="285"/>
      <c r="L68" s="285"/>
      <c r="M68" s="285"/>
      <c r="N68" s="263"/>
      <c r="O68" s="56"/>
      <c r="P68" s="54"/>
    </row>
    <row r="69" spans="4:16" x14ac:dyDescent="0.2">
      <c r="D69" s="54"/>
      <c r="E69" s="56">
        <f>E61+E52</f>
        <v>198309</v>
      </c>
      <c r="G69" s="54">
        <v>113116.2</v>
      </c>
      <c r="H69" s="285"/>
      <c r="I69" s="285"/>
      <c r="J69" s="285">
        <f>Balances!C22+('Budget Analysis'!J16-'Budget Analysis'!G16)-('Budget Analysis'!J52-'Budget Analysis'!G51)</f>
        <v>63018.17</v>
      </c>
      <c r="K69" s="285">
        <f>J69-48635</f>
        <v>14383.17</v>
      </c>
      <c r="L69" s="285"/>
      <c r="M69" s="285"/>
      <c r="O69" s="56"/>
      <c r="P69" s="54"/>
    </row>
    <row r="70" spans="4:16" x14ac:dyDescent="0.2">
      <c r="D70" s="54"/>
      <c r="E70" s="228"/>
      <c r="G70" s="54">
        <v>120881.13</v>
      </c>
      <c r="H70" s="54">
        <v>22147.31</v>
      </c>
      <c r="I70" s="54"/>
      <c r="J70" s="54"/>
      <c r="K70" s="54"/>
      <c r="L70" s="54"/>
      <c r="M70" s="285"/>
      <c r="O70" s="56"/>
      <c r="P70" s="54"/>
    </row>
    <row r="71" spans="4:16" x14ac:dyDescent="0.2">
      <c r="D71" s="54"/>
      <c r="G71" s="54"/>
      <c r="H71" s="54">
        <v>14382.38</v>
      </c>
      <c r="I71" s="54">
        <f>J52-G51</f>
        <v>163858</v>
      </c>
      <c r="J71" s="54"/>
      <c r="K71" s="54"/>
      <c r="L71" s="54"/>
      <c r="M71" s="54"/>
      <c r="O71" s="56"/>
      <c r="P71" s="54"/>
    </row>
    <row r="72" spans="4:16" x14ac:dyDescent="0.2">
      <c r="D72" s="54"/>
      <c r="G72" s="749"/>
      <c r="H72" s="54"/>
      <c r="I72" s="623"/>
      <c r="J72" s="614"/>
      <c r="K72" s="54"/>
      <c r="L72" s="54"/>
      <c r="M72" s="193"/>
      <c r="N72" s="56"/>
      <c r="O72" s="54"/>
    </row>
    <row r="73" spans="4:16" x14ac:dyDescent="0.2">
      <c r="D73" s="54"/>
      <c r="G73" s="749"/>
      <c r="H73" s="54"/>
      <c r="I73" s="54"/>
      <c r="J73" s="54"/>
      <c r="K73" s="54"/>
      <c r="L73" s="54"/>
      <c r="M73" s="193"/>
      <c r="N73" s="56"/>
      <c r="O73" s="54"/>
    </row>
    <row r="74" spans="4:16" x14ac:dyDescent="0.2">
      <c r="D74" s="54"/>
      <c r="G74" s="754"/>
      <c r="H74" s="54"/>
      <c r="I74" s="54"/>
      <c r="J74" s="54"/>
      <c r="K74" s="54"/>
      <c r="L74" s="54"/>
      <c r="M74" s="193"/>
      <c r="N74" s="56"/>
      <c r="O74" s="54"/>
    </row>
    <row r="75" spans="4:16" x14ac:dyDescent="0.2">
      <c r="D75" s="54"/>
      <c r="G75" s="755"/>
      <c r="H75" s="54"/>
      <c r="I75" s="54"/>
      <c r="J75" s="54"/>
      <c r="K75" s="54"/>
      <c r="L75" s="54"/>
      <c r="M75" s="193"/>
      <c r="N75" s="56"/>
      <c r="O75" s="54"/>
    </row>
    <row r="76" spans="4:16" x14ac:dyDescent="0.2">
      <c r="D76" s="54"/>
      <c r="G76" s="754"/>
      <c r="H76" s="54"/>
      <c r="I76" s="54"/>
      <c r="J76" s="54"/>
      <c r="K76" s="54"/>
      <c r="L76" s="54"/>
      <c r="M76" s="193"/>
      <c r="N76" s="56"/>
      <c r="O76" s="54"/>
    </row>
    <row r="77" spans="4:16" x14ac:dyDescent="0.2">
      <c r="D77" s="54"/>
      <c r="G77" s="754"/>
      <c r="H77" s="54"/>
      <c r="I77" s="54"/>
      <c r="J77" s="54"/>
      <c r="K77" s="54"/>
      <c r="L77" s="54"/>
      <c r="M77" s="193"/>
      <c r="N77" s="56"/>
      <c r="O77" s="54"/>
    </row>
    <row r="78" spans="4:16" x14ac:dyDescent="0.2">
      <c r="D78" s="54"/>
      <c r="G78" s="754"/>
      <c r="H78" s="54"/>
      <c r="I78" s="54"/>
      <c r="J78" s="54"/>
      <c r="K78" s="54"/>
      <c r="L78" s="54"/>
      <c r="M78" s="193"/>
      <c r="N78" s="56"/>
      <c r="O78" s="54"/>
    </row>
    <row r="79" spans="4:16" x14ac:dyDescent="0.2">
      <c r="D79" s="54"/>
      <c r="G79" s="754"/>
      <c r="H79" s="54"/>
      <c r="I79" s="54"/>
      <c r="J79" s="54"/>
      <c r="K79" s="54"/>
      <c r="L79" s="54"/>
      <c r="M79" s="193"/>
      <c r="N79" s="56"/>
      <c r="O79" s="54"/>
    </row>
    <row r="80" spans="4:16" x14ac:dyDescent="0.2">
      <c r="D80" s="54"/>
      <c r="G80" s="754"/>
      <c r="H80" s="54"/>
      <c r="I80" s="54"/>
      <c r="J80" s="54"/>
      <c r="K80" s="54"/>
      <c r="L80" s="54"/>
      <c r="M80" s="193"/>
      <c r="N80" s="56"/>
      <c r="O80" s="54"/>
    </row>
    <row r="81" spans="4:15" x14ac:dyDescent="0.2">
      <c r="D81" s="54"/>
      <c r="G81" s="749"/>
      <c r="H81" s="54"/>
      <c r="I81" s="54"/>
      <c r="J81" s="54"/>
      <c r="K81" s="54"/>
      <c r="L81" s="54"/>
      <c r="M81" s="193"/>
      <c r="N81" s="56"/>
      <c r="O81" s="54"/>
    </row>
    <row r="82" spans="4:15" x14ac:dyDescent="0.2">
      <c r="D82" s="54"/>
      <c r="G82" s="749"/>
      <c r="H82" s="54"/>
      <c r="I82" s="54"/>
      <c r="J82" s="54"/>
      <c r="K82" s="54"/>
      <c r="L82" s="54"/>
      <c r="M82" s="193"/>
      <c r="N82" s="56"/>
      <c r="O82" s="54"/>
    </row>
    <row r="83" spans="4:15" x14ac:dyDescent="0.2">
      <c r="D83" s="54"/>
      <c r="G83" s="749"/>
      <c r="H83" s="54"/>
      <c r="I83" s="54"/>
      <c r="J83" s="54"/>
      <c r="K83" s="54"/>
      <c r="L83" s="54"/>
      <c r="M83" s="193"/>
      <c r="N83" s="56"/>
      <c r="O83" s="54"/>
    </row>
    <row r="84" spans="4:15" x14ac:dyDescent="0.2">
      <c r="D84" s="54"/>
      <c r="G84" s="749"/>
      <c r="H84" s="54"/>
      <c r="I84" s="54"/>
      <c r="J84" s="54"/>
      <c r="K84" s="54"/>
      <c r="L84" s="54"/>
      <c r="M84" s="193"/>
      <c r="N84" s="56"/>
      <c r="O84" s="54"/>
    </row>
    <row r="85" spans="4:15" x14ac:dyDescent="0.2">
      <c r="D85" s="54"/>
      <c r="G85" s="749"/>
      <c r="H85" s="54"/>
      <c r="I85" s="54"/>
      <c r="J85" s="54"/>
      <c r="K85" s="54"/>
      <c r="L85" s="54"/>
      <c r="M85" s="193"/>
      <c r="N85" s="56"/>
      <c r="O85" s="54"/>
    </row>
    <row r="86" spans="4:15" x14ac:dyDescent="0.2">
      <c r="D86" s="54"/>
      <c r="G86" s="749"/>
      <c r="H86" s="54"/>
      <c r="I86" s="54"/>
      <c r="J86" s="54"/>
      <c r="K86" s="54"/>
      <c r="L86" s="54"/>
      <c r="M86" s="193"/>
      <c r="N86" s="56"/>
      <c r="O86" s="54"/>
    </row>
    <row r="87" spans="4:15" x14ac:dyDescent="0.2">
      <c r="D87" s="54"/>
      <c r="G87" s="749"/>
      <c r="H87" s="54"/>
      <c r="I87" s="54"/>
      <c r="J87" s="54"/>
      <c r="K87" s="54"/>
      <c r="L87" s="54"/>
      <c r="M87" s="193"/>
      <c r="N87" s="56"/>
      <c r="O87" s="54"/>
    </row>
    <row r="88" spans="4:15" x14ac:dyDescent="0.2">
      <c r="D88" s="54"/>
      <c r="G88" s="749"/>
      <c r="H88" s="54"/>
      <c r="I88" s="54"/>
      <c r="J88" s="54"/>
      <c r="K88" s="54"/>
      <c r="L88" s="54"/>
      <c r="M88" s="193"/>
      <c r="N88" s="56"/>
      <c r="O88" s="54"/>
    </row>
    <row r="89" spans="4:15" x14ac:dyDescent="0.2">
      <c r="D89" s="54"/>
      <c r="G89" s="749"/>
      <c r="H89" s="54"/>
      <c r="I89" s="54"/>
      <c r="J89" s="54"/>
      <c r="K89" s="54"/>
      <c r="L89" s="54"/>
      <c r="M89" s="193"/>
      <c r="N89" s="56"/>
      <c r="O89" s="54"/>
    </row>
    <row r="90" spans="4:15" x14ac:dyDescent="0.2">
      <c r="D90" s="54"/>
      <c r="G90" s="749"/>
      <c r="H90" s="54"/>
      <c r="I90" s="54"/>
      <c r="J90" s="54"/>
      <c r="K90" s="54"/>
      <c r="L90" s="54"/>
      <c r="M90" s="193"/>
      <c r="N90" s="56"/>
      <c r="O90" s="54"/>
    </row>
    <row r="91" spans="4:15" x14ac:dyDescent="0.2">
      <c r="D91" s="54"/>
      <c r="G91" s="749"/>
      <c r="H91" s="54"/>
      <c r="I91" s="54"/>
      <c r="J91" s="54"/>
      <c r="K91" s="54"/>
      <c r="L91" s="54"/>
      <c r="M91" s="193"/>
      <c r="N91" s="56"/>
      <c r="O91" s="54"/>
    </row>
    <row r="92" spans="4:15" x14ac:dyDescent="0.2">
      <c r="D92" s="54"/>
      <c r="G92" s="749"/>
      <c r="H92" s="54"/>
      <c r="I92" s="54"/>
      <c r="J92" s="54"/>
      <c r="K92" s="54"/>
      <c r="L92" s="54"/>
      <c r="M92" s="193"/>
      <c r="N92" s="56"/>
      <c r="O92" s="54"/>
    </row>
    <row r="93" spans="4:15" x14ac:dyDescent="0.2">
      <c r="D93" s="54"/>
      <c r="G93" s="749"/>
      <c r="H93" s="54"/>
      <c r="I93" s="54"/>
      <c r="J93" s="54"/>
      <c r="K93" s="54"/>
      <c r="L93" s="54"/>
      <c r="M93" s="193"/>
      <c r="N93" s="56"/>
      <c r="O93" s="54"/>
    </row>
    <row r="94" spans="4:15" x14ac:dyDescent="0.2">
      <c r="D94" s="54"/>
      <c r="G94" s="749"/>
      <c r="H94" s="54"/>
      <c r="I94" s="54"/>
      <c r="J94" s="54"/>
      <c r="K94" s="54"/>
      <c r="L94" s="54"/>
      <c r="M94" s="193"/>
      <c r="N94" s="56"/>
      <c r="O94" s="54"/>
    </row>
    <row r="95" spans="4:15" x14ac:dyDescent="0.2">
      <c r="D95" s="54"/>
      <c r="G95" s="749"/>
      <c r="H95" s="54"/>
      <c r="I95" s="54"/>
      <c r="J95" s="54"/>
      <c r="K95" s="54"/>
      <c r="L95" s="54"/>
      <c r="M95" s="193"/>
      <c r="N95" s="56"/>
      <c r="O95" s="54"/>
    </row>
    <row r="96" spans="4:15" x14ac:dyDescent="0.2">
      <c r="D96" s="54"/>
      <c r="G96" s="749"/>
      <c r="H96" s="54"/>
      <c r="I96" s="54"/>
      <c r="J96" s="54"/>
      <c r="K96" s="54"/>
      <c r="L96" s="54"/>
      <c r="M96" s="193"/>
      <c r="N96" s="56"/>
      <c r="O96" s="54"/>
    </row>
    <row r="97" spans="4:16" x14ac:dyDescent="0.2">
      <c r="D97" s="54"/>
      <c r="G97" s="749"/>
      <c r="H97" s="54"/>
      <c r="I97" s="54"/>
      <c r="J97" s="54"/>
      <c r="K97" s="54"/>
      <c r="L97" s="54"/>
      <c r="M97" s="193"/>
      <c r="N97" s="56"/>
      <c r="O97" s="54"/>
    </row>
    <row r="98" spans="4:16" x14ac:dyDescent="0.2">
      <c r="D98" s="54"/>
      <c r="G98" s="749"/>
      <c r="H98" s="54"/>
      <c r="I98" s="54"/>
      <c r="J98" s="54"/>
      <c r="K98" s="54"/>
      <c r="L98" s="54"/>
      <c r="M98" s="193"/>
      <c r="N98" s="56"/>
      <c r="O98" s="54"/>
    </row>
    <row r="99" spans="4:16" x14ac:dyDescent="0.2">
      <c r="D99" s="54"/>
      <c r="G99" s="749"/>
      <c r="H99" s="54"/>
      <c r="I99" s="54"/>
      <c r="J99" s="54"/>
      <c r="K99" s="54"/>
      <c r="L99" s="54"/>
      <c r="M99" s="193"/>
      <c r="N99" s="56"/>
      <c r="O99" s="54"/>
    </row>
    <row r="100" spans="4:16" x14ac:dyDescent="0.2">
      <c r="D100" s="54"/>
      <c r="G100" s="749"/>
      <c r="H100" s="54"/>
      <c r="I100" s="54"/>
      <c r="J100" s="54"/>
      <c r="K100" s="54"/>
      <c r="L100" s="54"/>
      <c r="M100" s="193"/>
      <c r="N100" s="56"/>
      <c r="O100" s="54"/>
    </row>
    <row r="101" spans="4:16" x14ac:dyDescent="0.2">
      <c r="D101" s="54"/>
      <c r="G101" s="749"/>
      <c r="H101" s="54"/>
      <c r="I101" s="54"/>
      <c r="J101" s="54"/>
      <c r="K101" s="54"/>
      <c r="L101" s="54"/>
      <c r="M101" s="193"/>
      <c r="N101" s="56"/>
      <c r="O101" s="54"/>
    </row>
    <row r="102" spans="4:16" x14ac:dyDescent="0.2">
      <c r="D102" s="54"/>
      <c r="G102" s="749"/>
      <c r="H102" s="54"/>
      <c r="I102" s="54"/>
      <c r="J102" s="54"/>
      <c r="K102" s="54"/>
      <c r="L102" s="54"/>
      <c r="M102" s="193"/>
      <c r="N102" s="56"/>
      <c r="O102" s="54"/>
    </row>
    <row r="103" spans="4:16" x14ac:dyDescent="0.2">
      <c r="D103" s="54"/>
      <c r="G103" s="749"/>
      <c r="H103" s="54"/>
      <c r="I103" s="54"/>
      <c r="J103" s="54"/>
      <c r="K103" s="54"/>
      <c r="L103" s="54"/>
      <c r="M103" s="193"/>
      <c r="N103" s="56"/>
      <c r="O103" s="54"/>
    </row>
    <row r="104" spans="4:16" x14ac:dyDescent="0.2">
      <c r="D104" s="54"/>
      <c r="G104" s="749"/>
      <c r="H104" s="54"/>
      <c r="I104" s="54"/>
      <c r="J104" s="54"/>
      <c r="K104" s="54"/>
      <c r="L104" s="54"/>
      <c r="M104" s="193"/>
      <c r="N104" s="56"/>
      <c r="O104" s="54"/>
    </row>
    <row r="105" spans="4:16" x14ac:dyDescent="0.2">
      <c r="D105" s="54"/>
      <c r="G105" s="54"/>
      <c r="H105" s="54"/>
      <c r="I105" s="54"/>
      <c r="J105" s="54"/>
      <c r="K105" s="54"/>
      <c r="L105" s="54"/>
      <c r="M105" s="54"/>
      <c r="O105" s="56"/>
      <c r="P105" s="54"/>
    </row>
    <row r="106" spans="4:16" x14ac:dyDescent="0.2">
      <c r="D106" s="54"/>
      <c r="G106" s="54"/>
      <c r="H106" s="54"/>
      <c r="I106" s="54"/>
      <c r="J106" s="54"/>
      <c r="K106" s="54"/>
      <c r="L106" s="54"/>
      <c r="M106" s="54"/>
      <c r="O106" s="56"/>
      <c r="P106" s="54"/>
    </row>
    <row r="107" spans="4:16" x14ac:dyDescent="0.2">
      <c r="D107" s="54"/>
      <c r="G107" s="54"/>
      <c r="H107" s="54"/>
      <c r="I107" s="54"/>
      <c r="J107" s="54"/>
      <c r="K107" s="54"/>
      <c r="L107" s="54"/>
      <c r="M107" s="54"/>
      <c r="O107" s="56"/>
      <c r="P107" s="54"/>
    </row>
    <row r="108" spans="4:16" x14ac:dyDescent="0.2">
      <c r="D108" s="54"/>
      <c r="G108" s="54"/>
      <c r="H108" s="54"/>
      <c r="I108" s="54"/>
      <c r="J108" s="54"/>
      <c r="K108" s="54"/>
      <c r="L108" s="54"/>
      <c r="M108" s="54"/>
      <c r="O108" s="56"/>
      <c r="P108" s="54"/>
    </row>
    <row r="109" spans="4:16" x14ac:dyDescent="0.2">
      <c r="D109" s="54"/>
      <c r="G109" s="54"/>
      <c r="H109" s="54"/>
      <c r="I109" s="54"/>
      <c r="J109" s="54"/>
      <c r="K109" s="54"/>
      <c r="L109" s="54"/>
      <c r="M109" s="54"/>
      <c r="O109" s="56"/>
      <c r="P109" s="54"/>
    </row>
    <row r="110" spans="4:16" x14ac:dyDescent="0.2">
      <c r="D110" s="54"/>
      <c r="G110" s="54"/>
      <c r="H110" s="54"/>
      <c r="I110" s="54"/>
      <c r="J110" s="54"/>
      <c r="K110" s="54"/>
      <c r="L110" s="54"/>
      <c r="M110" s="54"/>
      <c r="O110" s="56"/>
      <c r="P110" s="54"/>
    </row>
    <row r="111" spans="4:16" x14ac:dyDescent="0.2">
      <c r="D111" s="54"/>
      <c r="G111" s="54"/>
      <c r="H111" s="54"/>
      <c r="I111" s="54"/>
      <c r="J111" s="54"/>
      <c r="K111" s="54"/>
      <c r="L111" s="54"/>
      <c r="M111" s="54"/>
      <c r="O111" s="56"/>
      <c r="P111" s="54"/>
    </row>
    <row r="112" spans="4:16" x14ac:dyDescent="0.2">
      <c r="D112" s="54"/>
      <c r="G112" s="54"/>
      <c r="H112" s="54"/>
      <c r="I112" s="54"/>
      <c r="J112" s="54"/>
      <c r="K112" s="54"/>
      <c r="L112" s="54"/>
      <c r="M112" s="54"/>
      <c r="O112" s="56"/>
      <c r="P112" s="54"/>
    </row>
    <row r="113" spans="4:16" x14ac:dyDescent="0.2">
      <c r="D113" s="54"/>
      <c r="G113" s="54"/>
      <c r="H113" s="54"/>
      <c r="I113" s="54"/>
      <c r="J113" s="54"/>
      <c r="K113" s="54"/>
      <c r="L113" s="54"/>
      <c r="M113" s="54"/>
      <c r="O113" s="56"/>
      <c r="P113" s="54"/>
    </row>
    <row r="114" spans="4:16" x14ac:dyDescent="0.2">
      <c r="D114" s="54"/>
      <c r="G114" s="54"/>
      <c r="H114" s="54"/>
      <c r="I114" s="54"/>
      <c r="J114" s="54"/>
      <c r="K114" s="54"/>
      <c r="L114" s="54"/>
      <c r="M114" s="54"/>
      <c r="O114" s="56"/>
      <c r="P114" s="54"/>
    </row>
    <row r="115" spans="4:16" x14ac:dyDescent="0.2">
      <c r="D115" s="54"/>
      <c r="G115" s="54"/>
      <c r="H115" s="54"/>
      <c r="I115" s="54"/>
      <c r="J115" s="54"/>
      <c r="K115" s="54"/>
      <c r="L115" s="54"/>
      <c r="M115" s="54"/>
      <c r="O115" s="56"/>
      <c r="P115" s="54"/>
    </row>
    <row r="116" spans="4:16" x14ac:dyDescent="0.2">
      <c r="D116" s="54"/>
      <c r="G116" s="54"/>
      <c r="H116" s="54"/>
      <c r="I116" s="54"/>
      <c r="J116" s="54"/>
      <c r="K116" s="54"/>
      <c r="L116" s="54"/>
      <c r="M116" s="54"/>
      <c r="O116" s="56"/>
      <c r="P116" s="54"/>
    </row>
    <row r="117" spans="4:16" x14ac:dyDescent="0.2">
      <c r="D117" s="54"/>
      <c r="G117" s="54"/>
      <c r="H117" s="54"/>
      <c r="I117" s="54"/>
      <c r="J117" s="54"/>
      <c r="K117" s="54"/>
      <c r="L117" s="54"/>
      <c r="M117" s="54"/>
      <c r="O117" s="56"/>
      <c r="P117" s="54"/>
    </row>
    <row r="118" spans="4:16" x14ac:dyDescent="0.2">
      <c r="D118" s="54"/>
      <c r="G118" s="54"/>
      <c r="H118" s="54"/>
      <c r="I118" s="54"/>
      <c r="J118" s="54"/>
      <c r="K118" s="54"/>
      <c r="L118" s="54"/>
      <c r="M118" s="54"/>
      <c r="O118" s="56"/>
      <c r="P118" s="54"/>
    </row>
    <row r="119" spans="4:16" x14ac:dyDescent="0.2">
      <c r="D119" s="54"/>
      <c r="G119" s="54"/>
      <c r="H119" s="54"/>
      <c r="I119" s="54"/>
      <c r="J119" s="54"/>
      <c r="K119" s="54"/>
      <c r="L119" s="54"/>
      <c r="M119" s="54"/>
      <c r="O119" s="56"/>
      <c r="P119" s="54"/>
    </row>
    <row r="120" spans="4:16" x14ac:dyDescent="0.2">
      <c r="D120" s="54"/>
      <c r="G120" s="54"/>
      <c r="H120" s="54"/>
      <c r="I120" s="54"/>
      <c r="J120" s="54"/>
      <c r="K120" s="54"/>
      <c r="L120" s="54"/>
      <c r="M120" s="54"/>
      <c r="O120" s="56"/>
      <c r="P120" s="54"/>
    </row>
    <row r="121" spans="4:16" x14ac:dyDescent="0.2">
      <c r="D121" s="54"/>
      <c r="G121" s="54"/>
      <c r="H121" s="54"/>
      <c r="I121" s="54"/>
      <c r="J121" s="54"/>
      <c r="K121" s="54"/>
      <c r="L121" s="54"/>
      <c r="M121" s="54"/>
      <c r="O121" s="56"/>
      <c r="P121" s="54"/>
    </row>
    <row r="122" spans="4:16" x14ac:dyDescent="0.2">
      <c r="D122" s="54"/>
      <c r="G122" s="54"/>
      <c r="H122" s="54"/>
      <c r="I122" s="54"/>
      <c r="J122" s="54"/>
      <c r="K122" s="54"/>
      <c r="L122" s="54"/>
      <c r="M122" s="54"/>
      <c r="O122" s="56"/>
      <c r="P122" s="54"/>
    </row>
    <row r="123" spans="4:16" x14ac:dyDescent="0.2">
      <c r="D123" s="54"/>
      <c r="G123" s="54"/>
      <c r="H123" s="54"/>
      <c r="I123" s="54"/>
      <c r="J123" s="54"/>
      <c r="K123" s="54"/>
      <c r="L123" s="54"/>
      <c r="M123" s="54"/>
      <c r="O123" s="56"/>
      <c r="P123" s="54"/>
    </row>
    <row r="124" spans="4:16" x14ac:dyDescent="0.2">
      <c r="D124" s="54"/>
      <c r="G124" s="54"/>
      <c r="H124" s="54"/>
      <c r="I124" s="54"/>
      <c r="J124" s="54"/>
      <c r="K124" s="54"/>
      <c r="L124" s="54"/>
      <c r="M124" s="54"/>
      <c r="O124" s="56"/>
      <c r="P124" s="54"/>
    </row>
    <row r="125" spans="4:16" x14ac:dyDescent="0.2">
      <c r="D125" s="54"/>
      <c r="G125" s="54"/>
      <c r="H125" s="54"/>
      <c r="I125" s="54"/>
      <c r="J125" s="54"/>
      <c r="K125" s="54"/>
      <c r="L125" s="54"/>
      <c r="M125" s="54"/>
      <c r="O125" s="56"/>
      <c r="P125" s="54"/>
    </row>
    <row r="126" spans="4:16" x14ac:dyDescent="0.2">
      <c r="D126" s="54"/>
      <c r="G126" s="54"/>
      <c r="H126" s="54"/>
      <c r="I126" s="54"/>
      <c r="J126" s="54"/>
      <c r="K126" s="54"/>
      <c r="L126" s="54"/>
      <c r="M126" s="54"/>
      <c r="O126" s="56"/>
      <c r="P126" s="54"/>
    </row>
    <row r="127" spans="4:16" x14ac:dyDescent="0.2">
      <c r="D127" s="54"/>
      <c r="G127" s="54"/>
      <c r="H127" s="54"/>
      <c r="I127" s="54"/>
      <c r="J127" s="54"/>
      <c r="K127" s="54"/>
      <c r="L127" s="54"/>
      <c r="M127" s="54"/>
      <c r="O127" s="56"/>
      <c r="P127" s="54"/>
    </row>
    <row r="128" spans="4:16" x14ac:dyDescent="0.2">
      <c r="D128" s="54"/>
      <c r="G128" s="54"/>
      <c r="H128" s="54"/>
      <c r="I128" s="54"/>
      <c r="J128" s="54"/>
      <c r="K128" s="54"/>
      <c r="L128" s="54"/>
      <c r="M128" s="54"/>
      <c r="O128" s="56"/>
      <c r="P128" s="54"/>
    </row>
    <row r="129" spans="4:16" x14ac:dyDescent="0.2">
      <c r="D129" s="54"/>
      <c r="G129" s="54"/>
      <c r="H129" s="54"/>
      <c r="I129" s="54"/>
      <c r="J129" s="54"/>
      <c r="K129" s="54"/>
      <c r="L129" s="54"/>
      <c r="M129" s="54"/>
      <c r="O129" s="56"/>
      <c r="P129" s="54"/>
    </row>
    <row r="130" spans="4:16" x14ac:dyDescent="0.2">
      <c r="D130" s="54"/>
      <c r="G130" s="54"/>
      <c r="H130" s="54"/>
      <c r="I130" s="54"/>
      <c r="J130" s="54"/>
      <c r="K130" s="54"/>
      <c r="L130" s="54"/>
      <c r="M130" s="54"/>
      <c r="O130" s="56"/>
      <c r="P130" s="54"/>
    </row>
    <row r="131" spans="4:16" x14ac:dyDescent="0.2">
      <c r="D131" s="54"/>
      <c r="G131" s="54"/>
      <c r="H131" s="54"/>
      <c r="I131" s="54"/>
      <c r="J131" s="54"/>
      <c r="K131" s="54"/>
      <c r="L131" s="54"/>
      <c r="M131" s="54"/>
      <c r="O131" s="56"/>
      <c r="P131" s="54"/>
    </row>
    <row r="132" spans="4:16" x14ac:dyDescent="0.2">
      <c r="D132" s="54"/>
      <c r="G132" s="54"/>
      <c r="H132" s="54"/>
      <c r="I132" s="54"/>
      <c r="J132" s="54"/>
      <c r="K132" s="54"/>
      <c r="L132" s="54"/>
      <c r="M132" s="54"/>
      <c r="O132" s="56"/>
      <c r="P132" s="54"/>
    </row>
    <row r="133" spans="4:16" x14ac:dyDescent="0.2">
      <c r="D133" s="54"/>
      <c r="G133" s="54"/>
      <c r="H133" s="54"/>
      <c r="I133" s="54"/>
      <c r="J133" s="54"/>
      <c r="K133" s="54"/>
      <c r="L133" s="54"/>
      <c r="M133" s="54"/>
      <c r="O133" s="56"/>
      <c r="P133" s="54"/>
    </row>
    <row r="134" spans="4:16" x14ac:dyDescent="0.2">
      <c r="D134" s="54"/>
      <c r="G134" s="54"/>
      <c r="H134" s="54"/>
      <c r="I134" s="54"/>
      <c r="J134" s="54"/>
      <c r="K134" s="54"/>
      <c r="L134" s="54"/>
      <c r="M134" s="54"/>
      <c r="O134" s="56"/>
      <c r="P134" s="54"/>
    </row>
    <row r="135" spans="4:16" x14ac:dyDescent="0.2">
      <c r="D135" s="54"/>
      <c r="G135" s="54"/>
      <c r="H135" s="54"/>
      <c r="I135" s="54"/>
      <c r="J135" s="54"/>
      <c r="K135" s="54"/>
      <c r="L135" s="54"/>
      <c r="M135" s="54"/>
      <c r="O135" s="56"/>
      <c r="P135" s="54"/>
    </row>
    <row r="136" spans="4:16" x14ac:dyDescent="0.2">
      <c r="D136" s="54"/>
      <c r="G136" s="54"/>
      <c r="H136" s="54"/>
      <c r="I136" s="54"/>
      <c r="J136" s="54"/>
      <c r="K136" s="54"/>
      <c r="L136" s="54"/>
      <c r="M136" s="54"/>
      <c r="O136" s="56"/>
      <c r="P136" s="54"/>
    </row>
    <row r="137" spans="4:16" x14ac:dyDescent="0.2">
      <c r="D137" s="54"/>
      <c r="G137" s="54"/>
      <c r="H137" s="54"/>
      <c r="I137" s="54"/>
      <c r="J137" s="54"/>
      <c r="K137" s="54"/>
      <c r="L137" s="54"/>
      <c r="M137" s="54"/>
      <c r="O137" s="56"/>
      <c r="P137" s="54"/>
    </row>
    <row r="138" spans="4:16" x14ac:dyDescent="0.2">
      <c r="D138" s="54"/>
      <c r="G138" s="54"/>
      <c r="H138" s="54"/>
      <c r="I138" s="54"/>
      <c r="J138" s="54"/>
      <c r="K138" s="54"/>
      <c r="L138" s="54"/>
      <c r="M138" s="54"/>
      <c r="O138" s="56"/>
      <c r="P138" s="54"/>
    </row>
    <row r="139" spans="4:16" x14ac:dyDescent="0.2">
      <c r="D139" s="54"/>
      <c r="G139" s="54"/>
      <c r="H139" s="54"/>
      <c r="I139" s="54"/>
      <c r="J139" s="54"/>
      <c r="K139" s="54"/>
      <c r="L139" s="54"/>
      <c r="M139" s="54"/>
      <c r="O139" s="56"/>
      <c r="P139" s="54"/>
    </row>
    <row r="140" spans="4:16" x14ac:dyDescent="0.2">
      <c r="D140" s="54"/>
      <c r="G140" s="54"/>
      <c r="H140" s="54"/>
      <c r="I140" s="54"/>
      <c r="J140" s="54"/>
      <c r="K140" s="54"/>
      <c r="L140" s="54"/>
      <c r="M140" s="54"/>
      <c r="O140" s="56"/>
      <c r="P140" s="54"/>
    </row>
    <row r="141" spans="4:16" x14ac:dyDescent="0.2">
      <c r="D141" s="54"/>
      <c r="G141" s="54"/>
      <c r="H141" s="54"/>
      <c r="I141" s="54"/>
      <c r="J141" s="54"/>
      <c r="K141" s="54"/>
      <c r="L141" s="54"/>
      <c r="M141" s="54"/>
      <c r="O141" s="56"/>
      <c r="P141" s="54"/>
    </row>
    <row r="142" spans="4:16" x14ac:dyDescent="0.2">
      <c r="D142" s="54"/>
      <c r="G142" s="54"/>
      <c r="H142" s="54"/>
      <c r="I142" s="54"/>
      <c r="J142" s="54"/>
      <c r="K142" s="54"/>
      <c r="L142" s="54"/>
      <c r="M142" s="54"/>
      <c r="O142" s="56"/>
      <c r="P142" s="54"/>
    </row>
    <row r="143" spans="4:16" x14ac:dyDescent="0.2">
      <c r="D143" s="54"/>
      <c r="G143" s="54"/>
      <c r="H143" s="54"/>
      <c r="I143" s="54"/>
      <c r="J143" s="54"/>
      <c r="K143" s="54"/>
      <c r="L143" s="54"/>
      <c r="M143" s="54"/>
      <c r="O143" s="56"/>
      <c r="P143" s="54"/>
    </row>
    <row r="144" spans="4:16" x14ac:dyDescent="0.2">
      <c r="D144" s="54"/>
      <c r="G144" s="54"/>
      <c r="H144" s="54"/>
      <c r="I144" s="54"/>
      <c r="J144" s="54"/>
      <c r="K144" s="54"/>
      <c r="L144" s="54"/>
      <c r="M144" s="54"/>
      <c r="O144" s="56"/>
      <c r="P144" s="54"/>
    </row>
    <row r="145" spans="4:16" x14ac:dyDescent="0.2">
      <c r="D145" s="54"/>
      <c r="G145" s="54"/>
      <c r="H145" s="54"/>
      <c r="I145" s="54"/>
      <c r="J145" s="54"/>
      <c r="K145" s="54"/>
      <c r="L145" s="54"/>
      <c r="M145" s="54"/>
      <c r="O145" s="56"/>
      <c r="P145" s="54"/>
    </row>
    <row r="146" spans="4:16" x14ac:dyDescent="0.2">
      <c r="D146" s="54"/>
      <c r="G146" s="54"/>
      <c r="H146" s="54"/>
      <c r="I146" s="54"/>
      <c r="J146" s="54"/>
      <c r="K146" s="54"/>
      <c r="L146" s="54"/>
      <c r="M146" s="54"/>
      <c r="O146" s="56"/>
      <c r="P146" s="54"/>
    </row>
    <row r="147" spans="4:16" x14ac:dyDescent="0.2">
      <c r="D147" s="54"/>
      <c r="G147" s="54"/>
      <c r="H147" s="54"/>
      <c r="I147" s="54"/>
      <c r="J147" s="54"/>
      <c r="K147" s="54"/>
      <c r="L147" s="54"/>
      <c r="M147" s="54"/>
      <c r="O147" s="56"/>
      <c r="P147" s="54"/>
    </row>
    <row r="148" spans="4:16" x14ac:dyDescent="0.2">
      <c r="D148" s="54"/>
      <c r="G148" s="54"/>
      <c r="H148" s="54"/>
      <c r="I148" s="54"/>
      <c r="J148" s="54"/>
      <c r="K148" s="54"/>
      <c r="L148" s="54"/>
      <c r="M148" s="54"/>
      <c r="O148" s="56"/>
      <c r="P148" s="54"/>
    </row>
    <row r="149" spans="4:16" x14ac:dyDescent="0.2">
      <c r="D149" s="54"/>
      <c r="G149" s="54"/>
      <c r="H149" s="54"/>
      <c r="I149" s="54"/>
      <c r="J149" s="54"/>
      <c r="K149" s="54"/>
      <c r="L149" s="54"/>
      <c r="M149" s="54"/>
      <c r="O149" s="56"/>
      <c r="P149" s="54"/>
    </row>
    <row r="150" spans="4:16" x14ac:dyDescent="0.2">
      <c r="D150" s="54"/>
      <c r="G150" s="54"/>
      <c r="H150" s="54"/>
      <c r="I150" s="54"/>
      <c r="J150" s="54"/>
      <c r="K150" s="54"/>
      <c r="L150" s="54"/>
      <c r="M150" s="54"/>
      <c r="O150" s="56"/>
      <c r="P150" s="54"/>
    </row>
    <row r="151" spans="4:16" x14ac:dyDescent="0.2">
      <c r="D151" s="54"/>
      <c r="G151" s="54"/>
      <c r="H151" s="54"/>
      <c r="I151" s="54"/>
      <c r="J151" s="54"/>
      <c r="K151" s="54"/>
      <c r="L151" s="54"/>
      <c r="M151" s="54"/>
      <c r="O151" s="56"/>
      <c r="P151" s="54"/>
    </row>
    <row r="152" spans="4:16" x14ac:dyDescent="0.2">
      <c r="D152" s="54"/>
      <c r="G152" s="54"/>
      <c r="H152" s="54"/>
      <c r="I152" s="54"/>
      <c r="J152" s="54"/>
      <c r="K152" s="54"/>
      <c r="L152" s="54"/>
      <c r="M152" s="54"/>
      <c r="O152" s="56"/>
      <c r="P152" s="54"/>
    </row>
    <row r="153" spans="4:16" x14ac:dyDescent="0.2">
      <c r="D153" s="54"/>
      <c r="G153" s="54"/>
      <c r="H153" s="54"/>
      <c r="I153" s="54"/>
      <c r="J153" s="54"/>
      <c r="K153" s="54"/>
      <c r="L153" s="54"/>
      <c r="M153" s="54"/>
      <c r="O153" s="56"/>
      <c r="P153" s="54"/>
    </row>
    <row r="154" spans="4:16" x14ac:dyDescent="0.2">
      <c r="D154" s="54"/>
      <c r="G154" s="54"/>
      <c r="H154" s="54"/>
      <c r="I154" s="54"/>
      <c r="J154" s="54"/>
      <c r="K154" s="54"/>
      <c r="L154" s="54"/>
      <c r="M154" s="54"/>
      <c r="O154" s="56"/>
      <c r="P154" s="54"/>
    </row>
    <row r="155" spans="4:16" x14ac:dyDescent="0.2">
      <c r="D155" s="54"/>
      <c r="G155" s="54"/>
      <c r="H155" s="54"/>
      <c r="I155" s="54"/>
      <c r="J155" s="54"/>
      <c r="K155" s="54"/>
      <c r="L155" s="54"/>
      <c r="M155" s="54"/>
      <c r="O155" s="56"/>
      <c r="P155" s="54"/>
    </row>
    <row r="156" spans="4:16" x14ac:dyDescent="0.2">
      <c r="D156" s="54"/>
      <c r="G156" s="54"/>
      <c r="H156" s="54"/>
      <c r="I156" s="54"/>
      <c r="J156" s="54"/>
      <c r="K156" s="54"/>
      <c r="L156" s="54"/>
      <c r="M156" s="54"/>
      <c r="O156" s="56"/>
      <c r="P156" s="54"/>
    </row>
    <row r="157" spans="4:16" x14ac:dyDescent="0.2">
      <c r="D157" s="54"/>
      <c r="G157" s="54"/>
      <c r="H157" s="54"/>
      <c r="I157" s="54"/>
      <c r="J157" s="54"/>
      <c r="K157" s="54"/>
      <c r="L157" s="54"/>
      <c r="M157" s="54"/>
      <c r="O157" s="56"/>
      <c r="P157" s="54"/>
    </row>
    <row r="158" spans="4:16" x14ac:dyDescent="0.2">
      <c r="D158" s="54"/>
      <c r="G158" s="54"/>
      <c r="H158" s="54"/>
      <c r="I158" s="54"/>
      <c r="J158" s="54"/>
      <c r="K158" s="54"/>
      <c r="L158" s="54"/>
      <c r="M158" s="54"/>
      <c r="O158" s="56"/>
      <c r="P158" s="54"/>
    </row>
    <row r="159" spans="4:16" x14ac:dyDescent="0.2">
      <c r="D159" s="54"/>
      <c r="G159" s="54"/>
      <c r="H159" s="54"/>
      <c r="I159" s="54"/>
      <c r="J159" s="54"/>
      <c r="K159" s="54"/>
      <c r="L159" s="54"/>
      <c r="M159" s="54"/>
      <c r="O159" s="56"/>
      <c r="P159" s="54"/>
    </row>
    <row r="160" spans="4:16" x14ac:dyDescent="0.2">
      <c r="D160" s="54"/>
      <c r="G160" s="54"/>
      <c r="H160" s="54"/>
      <c r="I160" s="54"/>
      <c r="J160" s="54"/>
      <c r="K160" s="54"/>
      <c r="L160" s="54"/>
      <c r="M160" s="54"/>
      <c r="O160" s="56"/>
      <c r="P160" s="54"/>
    </row>
    <row r="161" spans="4:16" x14ac:dyDescent="0.2">
      <c r="D161" s="54"/>
      <c r="G161" s="54"/>
      <c r="H161" s="54"/>
      <c r="I161" s="54"/>
      <c r="J161" s="54"/>
      <c r="K161" s="54"/>
      <c r="L161" s="54"/>
      <c r="M161" s="54"/>
      <c r="O161" s="56"/>
      <c r="P161" s="54"/>
    </row>
    <row r="162" spans="4:16" x14ac:dyDescent="0.2">
      <c r="D162" s="54"/>
      <c r="G162" s="54"/>
      <c r="H162" s="54"/>
      <c r="I162" s="54"/>
      <c r="J162" s="54"/>
      <c r="K162" s="54"/>
      <c r="L162" s="54"/>
      <c r="M162" s="54"/>
      <c r="O162" s="56"/>
      <c r="P162" s="54"/>
    </row>
    <row r="163" spans="4:16" x14ac:dyDescent="0.2">
      <c r="D163" s="54"/>
      <c r="G163" s="54"/>
      <c r="H163" s="54"/>
      <c r="I163" s="54"/>
      <c r="J163" s="54"/>
      <c r="K163" s="54"/>
      <c r="L163" s="54"/>
      <c r="M163" s="54"/>
      <c r="O163" s="56"/>
      <c r="P163" s="54"/>
    </row>
    <row r="164" spans="4:16" x14ac:dyDescent="0.2">
      <c r="D164" s="54"/>
      <c r="G164" s="54"/>
      <c r="H164" s="54"/>
      <c r="I164" s="54"/>
      <c r="J164" s="54"/>
      <c r="K164" s="54"/>
      <c r="L164" s="54"/>
      <c r="M164" s="54"/>
      <c r="O164" s="56"/>
      <c r="P164" s="54"/>
    </row>
    <row r="165" spans="4:16" x14ac:dyDescent="0.2">
      <c r="D165" s="54"/>
      <c r="G165" s="54"/>
      <c r="H165" s="54"/>
      <c r="I165" s="54"/>
      <c r="J165" s="54"/>
      <c r="K165" s="54"/>
      <c r="L165" s="54"/>
      <c r="M165" s="54"/>
      <c r="O165" s="56"/>
      <c r="P165" s="54"/>
    </row>
    <row r="166" spans="4:16" x14ac:dyDescent="0.2">
      <c r="D166" s="54"/>
      <c r="G166" s="54"/>
      <c r="H166" s="54"/>
      <c r="I166" s="54"/>
      <c r="J166" s="54"/>
      <c r="K166" s="54"/>
      <c r="L166" s="54"/>
      <c r="M166" s="54"/>
      <c r="O166" s="56"/>
      <c r="P166" s="54"/>
    </row>
    <row r="167" spans="4:16" x14ac:dyDescent="0.2">
      <c r="D167" s="54"/>
      <c r="G167" s="54"/>
      <c r="H167" s="54"/>
      <c r="I167" s="54"/>
      <c r="J167" s="54"/>
      <c r="K167" s="54"/>
      <c r="L167" s="54"/>
      <c r="M167" s="54"/>
      <c r="O167" s="56"/>
      <c r="P167" s="54"/>
    </row>
    <row r="168" spans="4:16" x14ac:dyDescent="0.2">
      <c r="D168" s="54"/>
      <c r="G168" s="54"/>
      <c r="H168" s="54"/>
      <c r="I168" s="54"/>
      <c r="J168" s="54"/>
      <c r="K168" s="54"/>
      <c r="L168" s="54"/>
      <c r="M168" s="54"/>
      <c r="O168" s="56"/>
      <c r="P168" s="54"/>
    </row>
    <row r="169" spans="4:16" x14ac:dyDescent="0.2">
      <c r="D169" s="54"/>
      <c r="G169" s="54"/>
      <c r="H169" s="54"/>
      <c r="I169" s="54"/>
      <c r="J169" s="54"/>
      <c r="K169" s="54"/>
      <c r="L169" s="54"/>
      <c r="M169" s="54"/>
      <c r="O169" s="56"/>
      <c r="P169" s="54"/>
    </row>
    <row r="170" spans="4:16" x14ac:dyDescent="0.2">
      <c r="D170" s="54"/>
      <c r="G170" s="54"/>
      <c r="H170" s="54"/>
      <c r="I170" s="54"/>
      <c r="J170" s="54"/>
      <c r="K170" s="54"/>
      <c r="L170" s="54"/>
      <c r="M170" s="54"/>
      <c r="O170" s="56"/>
      <c r="P170" s="54"/>
    </row>
    <row r="171" spans="4:16" x14ac:dyDescent="0.2">
      <c r="D171" s="54"/>
      <c r="G171" s="54"/>
      <c r="H171" s="54"/>
      <c r="I171" s="54"/>
      <c r="J171" s="54"/>
      <c r="K171" s="54"/>
      <c r="L171" s="54"/>
      <c r="M171" s="54"/>
      <c r="O171" s="56"/>
      <c r="P171" s="54"/>
    </row>
    <row r="172" spans="4:16" x14ac:dyDescent="0.2">
      <c r="D172" s="54"/>
      <c r="G172" s="54"/>
      <c r="H172" s="54"/>
      <c r="I172" s="54"/>
      <c r="J172" s="54"/>
      <c r="K172" s="54"/>
      <c r="L172" s="54"/>
      <c r="M172" s="54"/>
      <c r="O172" s="56"/>
      <c r="P172" s="54"/>
    </row>
    <row r="173" spans="4:16" x14ac:dyDescent="0.2">
      <c r="D173" s="54"/>
      <c r="G173" s="54"/>
      <c r="H173" s="54"/>
      <c r="I173" s="54"/>
      <c r="J173" s="54"/>
      <c r="K173" s="54"/>
      <c r="L173" s="54"/>
      <c r="M173" s="54"/>
      <c r="O173" s="56"/>
      <c r="P173" s="54"/>
    </row>
    <row r="174" spans="4:16" x14ac:dyDescent="0.2">
      <c r="D174" s="54"/>
      <c r="G174" s="54"/>
      <c r="H174" s="54"/>
      <c r="I174" s="54"/>
      <c r="J174" s="54"/>
      <c r="K174" s="54"/>
      <c r="L174" s="54"/>
      <c r="M174" s="54"/>
      <c r="O174" s="56"/>
      <c r="P174" s="54"/>
    </row>
    <row r="175" spans="4:16" x14ac:dyDescent="0.2">
      <c r="D175" s="54"/>
      <c r="G175" s="54"/>
      <c r="H175" s="54"/>
      <c r="I175" s="54"/>
      <c r="J175" s="54"/>
      <c r="K175" s="54"/>
      <c r="L175" s="54"/>
      <c r="M175" s="54"/>
      <c r="O175" s="56"/>
      <c r="P175" s="54"/>
    </row>
    <row r="176" spans="4:16" x14ac:dyDescent="0.2">
      <c r="D176" s="54"/>
      <c r="G176" s="54"/>
      <c r="H176" s="54"/>
      <c r="I176" s="54"/>
      <c r="J176" s="54"/>
      <c r="K176" s="54"/>
      <c r="L176" s="54"/>
      <c r="M176" s="54"/>
      <c r="O176" s="56"/>
      <c r="P176" s="54"/>
    </row>
    <row r="177" spans="4:16" x14ac:dyDescent="0.2">
      <c r="D177" s="54"/>
      <c r="G177" s="54"/>
      <c r="H177" s="54"/>
      <c r="I177" s="54"/>
      <c r="J177" s="54"/>
      <c r="K177" s="54"/>
      <c r="L177" s="54"/>
      <c r="M177" s="54"/>
      <c r="O177" s="56"/>
      <c r="P177" s="54"/>
    </row>
    <row r="178" spans="4:16" x14ac:dyDescent="0.2">
      <c r="D178" s="54"/>
      <c r="G178" s="54"/>
      <c r="H178" s="54"/>
      <c r="I178" s="54"/>
      <c r="J178" s="54"/>
      <c r="K178" s="54"/>
      <c r="L178" s="54"/>
      <c r="M178" s="54"/>
      <c r="O178" s="56"/>
      <c r="P178" s="54"/>
    </row>
    <row r="179" spans="4:16" x14ac:dyDescent="0.2">
      <c r="D179" s="54"/>
      <c r="G179" s="54"/>
      <c r="H179" s="54"/>
      <c r="I179" s="54"/>
      <c r="J179" s="54"/>
      <c r="K179" s="54"/>
      <c r="L179" s="54"/>
      <c r="M179" s="54"/>
      <c r="O179" s="56"/>
      <c r="P179" s="54"/>
    </row>
    <row r="180" spans="4:16" x14ac:dyDescent="0.2">
      <c r="D180" s="54"/>
      <c r="G180" s="54"/>
      <c r="H180" s="54"/>
      <c r="I180" s="54"/>
      <c r="J180" s="54"/>
      <c r="K180" s="54"/>
      <c r="L180" s="54"/>
      <c r="M180" s="54"/>
      <c r="O180" s="56"/>
      <c r="P180" s="54"/>
    </row>
    <row r="181" spans="4:16" x14ac:dyDescent="0.2">
      <c r="D181" s="54"/>
      <c r="G181" s="54"/>
      <c r="H181" s="54"/>
      <c r="I181" s="54"/>
      <c r="J181" s="54"/>
      <c r="K181" s="54"/>
      <c r="L181" s="54"/>
      <c r="M181" s="54"/>
      <c r="O181" s="56"/>
      <c r="P181" s="54"/>
    </row>
    <row r="182" spans="4:16" x14ac:dyDescent="0.2">
      <c r="D182" s="54"/>
      <c r="G182" s="54"/>
      <c r="H182" s="54"/>
      <c r="I182" s="54"/>
      <c r="J182" s="54"/>
      <c r="K182" s="54"/>
      <c r="L182" s="54"/>
      <c r="M182" s="54"/>
      <c r="O182" s="56"/>
      <c r="P182" s="54"/>
    </row>
    <row r="183" spans="4:16" x14ac:dyDescent="0.2">
      <c r="D183" s="54"/>
      <c r="G183" s="54"/>
      <c r="H183" s="54"/>
      <c r="I183" s="54"/>
      <c r="J183" s="54"/>
      <c r="K183" s="54"/>
      <c r="L183" s="54"/>
      <c r="M183" s="54"/>
      <c r="O183" s="56"/>
      <c r="P183" s="54"/>
    </row>
    <row r="184" spans="4:16" x14ac:dyDescent="0.2">
      <c r="D184" s="54"/>
      <c r="G184" s="54"/>
      <c r="H184" s="54"/>
      <c r="I184" s="54"/>
      <c r="J184" s="54"/>
      <c r="K184" s="54"/>
      <c r="L184" s="54"/>
      <c r="M184" s="54"/>
      <c r="O184" s="56"/>
      <c r="P184" s="54"/>
    </row>
    <row r="185" spans="4:16" x14ac:dyDescent="0.2">
      <c r="D185" s="54"/>
      <c r="G185" s="54"/>
      <c r="H185" s="54"/>
      <c r="I185" s="54"/>
      <c r="J185" s="54"/>
      <c r="K185" s="54"/>
      <c r="L185" s="54"/>
      <c r="M185" s="54"/>
      <c r="O185" s="56"/>
      <c r="P185" s="54"/>
    </row>
    <row r="186" spans="4:16" x14ac:dyDescent="0.2">
      <c r="D186" s="54"/>
      <c r="G186" s="54"/>
      <c r="H186" s="54"/>
      <c r="I186" s="54"/>
      <c r="J186" s="54"/>
      <c r="K186" s="54"/>
      <c r="L186" s="54"/>
      <c r="M186" s="54"/>
      <c r="O186" s="56"/>
      <c r="P186" s="54"/>
    </row>
    <row r="187" spans="4:16" x14ac:dyDescent="0.2">
      <c r="D187" s="54"/>
      <c r="G187" s="54"/>
      <c r="H187" s="54"/>
      <c r="I187" s="54"/>
      <c r="J187" s="54"/>
      <c r="K187" s="54"/>
      <c r="L187" s="54"/>
      <c r="M187" s="54"/>
      <c r="O187" s="56"/>
      <c r="P187" s="54"/>
    </row>
    <row r="188" spans="4:16" x14ac:dyDescent="0.2">
      <c r="D188" s="54"/>
      <c r="G188" s="54"/>
      <c r="H188" s="54"/>
      <c r="I188" s="54"/>
      <c r="J188" s="54"/>
      <c r="K188" s="54"/>
      <c r="L188" s="54"/>
      <c r="M188" s="54"/>
      <c r="O188" s="56"/>
      <c r="P188" s="54"/>
    </row>
    <row r="189" spans="4:16" x14ac:dyDescent="0.2">
      <c r="D189" s="54"/>
      <c r="G189" s="54"/>
      <c r="H189" s="54"/>
      <c r="I189" s="54"/>
      <c r="J189" s="54"/>
      <c r="K189" s="54"/>
      <c r="L189" s="54"/>
      <c r="M189" s="54"/>
      <c r="O189" s="56"/>
      <c r="P189" s="54"/>
    </row>
    <row r="190" spans="4:16" x14ac:dyDescent="0.2">
      <c r="D190" s="54"/>
      <c r="G190" s="54"/>
      <c r="H190" s="54"/>
      <c r="I190" s="54"/>
      <c r="J190" s="54"/>
      <c r="K190" s="54"/>
      <c r="L190" s="54"/>
      <c r="M190" s="54"/>
      <c r="O190" s="56"/>
      <c r="P190" s="54"/>
    </row>
    <row r="191" spans="4:16" x14ac:dyDescent="0.2">
      <c r="D191" s="54"/>
      <c r="G191" s="54"/>
      <c r="H191" s="54"/>
      <c r="I191" s="54"/>
      <c r="J191" s="54"/>
      <c r="K191" s="54"/>
      <c r="L191" s="54"/>
      <c r="M191" s="54"/>
      <c r="O191" s="56"/>
      <c r="P191" s="54"/>
    </row>
    <row r="192" spans="4:16" x14ac:dyDescent="0.2">
      <c r="D192" s="54"/>
      <c r="G192" s="54"/>
      <c r="H192" s="54"/>
      <c r="I192" s="54"/>
      <c r="J192" s="54"/>
      <c r="K192" s="54"/>
      <c r="L192" s="54"/>
      <c r="M192" s="54"/>
      <c r="O192" s="56"/>
      <c r="P192" s="54"/>
    </row>
    <row r="193" spans="4:16" x14ac:dyDescent="0.2">
      <c r="D193" s="54"/>
      <c r="G193" s="54"/>
      <c r="H193" s="54"/>
      <c r="I193" s="54"/>
      <c r="J193" s="54"/>
      <c r="K193" s="54"/>
      <c r="L193" s="54"/>
      <c r="M193" s="54"/>
      <c r="O193" s="56"/>
      <c r="P193" s="54"/>
    </row>
    <row r="194" spans="4:16" x14ac:dyDescent="0.2">
      <c r="D194" s="54"/>
      <c r="G194" s="54"/>
      <c r="H194" s="54"/>
      <c r="I194" s="54"/>
      <c r="J194" s="54"/>
      <c r="K194" s="54"/>
      <c r="L194" s="54"/>
      <c r="M194" s="54"/>
      <c r="O194" s="56"/>
      <c r="P194" s="54"/>
    </row>
    <row r="195" spans="4:16" x14ac:dyDescent="0.2">
      <c r="D195" s="54"/>
      <c r="G195" s="54"/>
      <c r="H195" s="54"/>
      <c r="I195" s="54"/>
      <c r="J195" s="54"/>
      <c r="K195" s="54"/>
      <c r="L195" s="54"/>
      <c r="M195" s="54"/>
      <c r="O195" s="56"/>
      <c r="P195" s="54"/>
    </row>
    <row r="196" spans="4:16" x14ac:dyDescent="0.2">
      <c r="D196" s="54"/>
      <c r="G196" s="54"/>
      <c r="H196" s="54"/>
      <c r="I196" s="54"/>
      <c r="J196" s="54"/>
      <c r="K196" s="54"/>
      <c r="L196" s="54"/>
      <c r="M196" s="54"/>
      <c r="O196" s="56"/>
      <c r="P196" s="54"/>
    </row>
    <row r="197" spans="4:16" x14ac:dyDescent="0.2">
      <c r="D197" s="54"/>
      <c r="G197" s="54"/>
      <c r="H197" s="54"/>
      <c r="I197" s="54"/>
      <c r="J197" s="54"/>
      <c r="K197" s="54"/>
      <c r="L197" s="54"/>
      <c r="M197" s="54"/>
      <c r="O197" s="56"/>
      <c r="P197" s="54"/>
    </row>
    <row r="198" spans="4:16" x14ac:dyDescent="0.2">
      <c r="D198" s="54"/>
      <c r="G198" s="54"/>
      <c r="H198" s="54"/>
      <c r="I198" s="54"/>
      <c r="J198" s="54"/>
      <c r="K198" s="54"/>
      <c r="L198" s="54"/>
      <c r="M198" s="54"/>
      <c r="O198" s="56"/>
      <c r="P198" s="54"/>
    </row>
    <row r="199" spans="4:16" x14ac:dyDescent="0.2">
      <c r="D199" s="54"/>
      <c r="G199" s="54"/>
      <c r="H199" s="54"/>
      <c r="I199" s="54"/>
      <c r="J199" s="54"/>
      <c r="K199" s="54"/>
      <c r="L199" s="54"/>
      <c r="M199" s="54"/>
      <c r="O199" s="56"/>
      <c r="P199" s="54"/>
    </row>
    <row r="200" spans="4:16" x14ac:dyDescent="0.2">
      <c r="D200" s="54"/>
      <c r="G200" s="54"/>
      <c r="H200" s="54"/>
      <c r="I200" s="54"/>
      <c r="J200" s="54"/>
      <c r="K200" s="54"/>
      <c r="L200" s="54"/>
      <c r="M200" s="54"/>
      <c r="O200" s="56"/>
      <c r="P200" s="54"/>
    </row>
    <row r="201" spans="4:16" x14ac:dyDescent="0.2">
      <c r="D201" s="54"/>
      <c r="G201" s="54"/>
      <c r="H201" s="54"/>
      <c r="I201" s="54"/>
      <c r="J201" s="54"/>
      <c r="K201" s="54"/>
      <c r="L201" s="54"/>
      <c r="M201" s="54"/>
      <c r="O201" s="56"/>
      <c r="P201" s="54"/>
    </row>
    <row r="202" spans="4:16" x14ac:dyDescent="0.2">
      <c r="D202" s="54"/>
      <c r="G202" s="54"/>
      <c r="H202" s="54"/>
      <c r="I202" s="54"/>
      <c r="J202" s="54"/>
      <c r="K202" s="54"/>
      <c r="L202" s="54"/>
      <c r="M202" s="54"/>
      <c r="O202" s="56"/>
      <c r="P202" s="54"/>
    </row>
    <row r="203" spans="4:16" x14ac:dyDescent="0.2">
      <c r="D203" s="54"/>
      <c r="G203" s="54"/>
      <c r="H203" s="54"/>
      <c r="I203" s="54"/>
      <c r="J203" s="54"/>
      <c r="K203" s="54"/>
      <c r="L203" s="54"/>
      <c r="M203" s="54"/>
      <c r="O203" s="56"/>
      <c r="P203" s="54"/>
    </row>
    <row r="204" spans="4:16" x14ac:dyDescent="0.2">
      <c r="D204" s="54"/>
      <c r="G204" s="54"/>
      <c r="H204" s="54"/>
      <c r="I204" s="54"/>
      <c r="J204" s="54"/>
      <c r="K204" s="54"/>
      <c r="L204" s="54"/>
      <c r="M204" s="54"/>
      <c r="O204" s="56"/>
      <c r="P204" s="54"/>
    </row>
    <row r="205" spans="4:16" x14ac:dyDescent="0.2">
      <c r="D205" s="54"/>
      <c r="G205" s="54"/>
      <c r="H205" s="54"/>
      <c r="I205" s="54"/>
      <c r="J205" s="54"/>
      <c r="K205" s="54"/>
      <c r="L205" s="54"/>
      <c r="M205" s="54"/>
      <c r="O205" s="56"/>
      <c r="P205" s="54"/>
    </row>
    <row r="206" spans="4:16" x14ac:dyDescent="0.2">
      <c r="D206" s="54"/>
      <c r="G206" s="54"/>
      <c r="H206" s="54"/>
      <c r="I206" s="54"/>
      <c r="J206" s="54"/>
      <c r="K206" s="54"/>
      <c r="L206" s="54"/>
      <c r="M206" s="54"/>
      <c r="O206" s="56"/>
      <c r="P206" s="54"/>
    </row>
    <row r="207" spans="4:16" x14ac:dyDescent="0.2">
      <c r="D207" s="54"/>
      <c r="G207" s="54"/>
      <c r="H207" s="54"/>
      <c r="I207" s="54"/>
      <c r="J207" s="54"/>
      <c r="K207" s="54"/>
      <c r="L207" s="54"/>
      <c r="M207" s="54"/>
      <c r="O207" s="56"/>
      <c r="P207" s="54"/>
    </row>
    <row r="208" spans="4:16" x14ac:dyDescent="0.2">
      <c r="D208" s="54"/>
      <c r="G208" s="54"/>
      <c r="H208" s="54"/>
      <c r="I208" s="54"/>
      <c r="J208" s="54"/>
      <c r="K208" s="54"/>
      <c r="L208" s="54"/>
      <c r="M208" s="54"/>
      <c r="O208" s="56"/>
      <c r="P208" s="54"/>
    </row>
    <row r="209" spans="4:16" x14ac:dyDescent="0.2">
      <c r="D209" s="54"/>
      <c r="G209" s="54"/>
      <c r="H209" s="54"/>
      <c r="I209" s="54"/>
      <c r="J209" s="54"/>
      <c r="K209" s="54"/>
      <c r="L209" s="54"/>
      <c r="M209" s="54"/>
      <c r="O209" s="56"/>
      <c r="P209" s="54"/>
    </row>
    <row r="210" spans="4:16" x14ac:dyDescent="0.2">
      <c r="D210" s="54"/>
      <c r="G210" s="54"/>
      <c r="H210" s="54"/>
      <c r="I210" s="54"/>
      <c r="J210" s="54"/>
      <c r="K210" s="54"/>
      <c r="L210" s="54"/>
      <c r="M210" s="54"/>
      <c r="O210" s="56"/>
      <c r="P210" s="54"/>
    </row>
    <row r="211" spans="4:16" x14ac:dyDescent="0.2">
      <c r="D211" s="54"/>
      <c r="G211" s="54"/>
      <c r="H211" s="54"/>
      <c r="I211" s="54"/>
      <c r="J211" s="54"/>
      <c r="K211" s="54"/>
      <c r="L211" s="54"/>
      <c r="M211" s="54"/>
      <c r="O211" s="56"/>
      <c r="P211" s="54"/>
    </row>
    <row r="212" spans="4:16" x14ac:dyDescent="0.2">
      <c r="D212" s="54"/>
      <c r="G212" s="54"/>
      <c r="H212" s="54"/>
      <c r="I212" s="54"/>
      <c r="J212" s="54"/>
      <c r="K212" s="54"/>
      <c r="L212" s="54"/>
      <c r="M212" s="54"/>
      <c r="O212" s="56"/>
      <c r="P212" s="54"/>
    </row>
    <row r="213" spans="4:16" x14ac:dyDescent="0.2">
      <c r="D213" s="54"/>
      <c r="G213" s="54"/>
      <c r="H213" s="54"/>
      <c r="I213" s="54"/>
      <c r="J213" s="54"/>
      <c r="K213" s="54"/>
      <c r="L213" s="54"/>
      <c r="M213" s="54"/>
      <c r="O213" s="56"/>
      <c r="P213" s="54"/>
    </row>
    <row r="214" spans="4:16" x14ac:dyDescent="0.2">
      <c r="D214" s="54"/>
      <c r="G214" s="54"/>
      <c r="H214" s="54"/>
      <c r="I214" s="54"/>
      <c r="J214" s="54"/>
      <c r="K214" s="54"/>
      <c r="L214" s="54"/>
      <c r="M214" s="54"/>
      <c r="O214" s="56"/>
      <c r="P214" s="54"/>
    </row>
    <row r="215" spans="4:16" x14ac:dyDescent="0.2">
      <c r="D215" s="54"/>
      <c r="G215" s="54"/>
      <c r="H215" s="54"/>
      <c r="I215" s="54"/>
      <c r="J215" s="54"/>
      <c r="K215" s="54"/>
      <c r="L215" s="54"/>
      <c r="M215" s="54"/>
      <c r="O215" s="56"/>
      <c r="P215" s="54"/>
    </row>
    <row r="216" spans="4:16" x14ac:dyDescent="0.2">
      <c r="D216" s="54"/>
      <c r="G216" s="54"/>
      <c r="H216" s="54"/>
      <c r="I216" s="54"/>
      <c r="J216" s="54"/>
      <c r="K216" s="54"/>
      <c r="L216" s="54"/>
      <c r="M216" s="54"/>
      <c r="O216" s="56"/>
      <c r="P216" s="54"/>
    </row>
    <row r="217" spans="4:16" x14ac:dyDescent="0.2">
      <c r="D217" s="54"/>
      <c r="G217" s="54"/>
      <c r="H217" s="54"/>
      <c r="I217" s="54"/>
      <c r="J217" s="54"/>
      <c r="K217" s="54"/>
      <c r="L217" s="54"/>
      <c r="M217" s="54"/>
      <c r="O217" s="56"/>
      <c r="P217" s="54"/>
    </row>
    <row r="218" spans="4:16" x14ac:dyDescent="0.2">
      <c r="D218" s="54"/>
      <c r="G218" s="54"/>
      <c r="H218" s="54"/>
      <c r="I218" s="54"/>
      <c r="J218" s="54"/>
      <c r="K218" s="54"/>
      <c r="L218" s="54"/>
      <c r="M218" s="54"/>
      <c r="O218" s="56"/>
      <c r="P218" s="54"/>
    </row>
    <row r="219" spans="4:16" x14ac:dyDescent="0.2">
      <c r="D219" s="54"/>
      <c r="G219" s="54"/>
      <c r="H219" s="54"/>
      <c r="I219" s="54"/>
      <c r="J219" s="54"/>
      <c r="K219" s="54"/>
      <c r="L219" s="54"/>
      <c r="M219" s="54"/>
      <c r="O219" s="56"/>
      <c r="P219" s="54"/>
    </row>
    <row r="220" spans="4:16" x14ac:dyDescent="0.2">
      <c r="D220" s="54"/>
      <c r="G220" s="54"/>
      <c r="H220" s="54"/>
      <c r="I220" s="54"/>
      <c r="J220" s="54"/>
      <c r="K220" s="54"/>
      <c r="L220" s="54"/>
      <c r="M220" s="54"/>
      <c r="O220" s="56"/>
      <c r="P220" s="54"/>
    </row>
    <row r="221" spans="4:16" x14ac:dyDescent="0.2">
      <c r="D221" s="54"/>
      <c r="G221" s="54"/>
      <c r="H221" s="54"/>
      <c r="I221" s="54"/>
      <c r="J221" s="54"/>
      <c r="K221" s="54"/>
      <c r="L221" s="54"/>
      <c r="M221" s="54"/>
      <c r="O221" s="56"/>
      <c r="P221" s="54"/>
    </row>
    <row r="222" spans="4:16" x14ac:dyDescent="0.2">
      <c r="D222" s="54"/>
      <c r="G222" s="54"/>
      <c r="H222" s="54"/>
      <c r="I222" s="54"/>
      <c r="J222" s="54"/>
      <c r="K222" s="54"/>
      <c r="L222" s="54"/>
      <c r="M222" s="54"/>
      <c r="O222" s="56"/>
      <c r="P222" s="54"/>
    </row>
    <row r="223" spans="4:16" x14ac:dyDescent="0.2">
      <c r="D223" s="54"/>
      <c r="G223" s="54"/>
      <c r="H223" s="54"/>
      <c r="I223" s="54"/>
      <c r="J223" s="54"/>
      <c r="K223" s="54"/>
      <c r="L223" s="54"/>
      <c r="M223" s="54"/>
      <c r="O223" s="56"/>
      <c r="P223" s="54"/>
    </row>
    <row r="224" spans="4:16" x14ac:dyDescent="0.2">
      <c r="D224" s="54"/>
      <c r="G224" s="54"/>
      <c r="H224" s="54"/>
      <c r="I224" s="54"/>
      <c r="J224" s="54"/>
      <c r="K224" s="54"/>
      <c r="L224" s="54"/>
      <c r="M224" s="54"/>
      <c r="O224" s="56"/>
      <c r="P224" s="54"/>
    </row>
    <row r="225" spans="4:16" x14ac:dyDescent="0.2">
      <c r="D225" s="54"/>
      <c r="G225" s="54"/>
      <c r="H225" s="54"/>
      <c r="I225" s="54"/>
      <c r="J225" s="54"/>
      <c r="K225" s="54"/>
      <c r="L225" s="54"/>
      <c r="M225" s="54"/>
      <c r="O225" s="56"/>
      <c r="P225" s="54"/>
    </row>
    <row r="226" spans="4:16" x14ac:dyDescent="0.2">
      <c r="D226" s="54"/>
      <c r="G226" s="54"/>
      <c r="H226" s="54"/>
      <c r="I226" s="54"/>
      <c r="J226" s="54"/>
      <c r="K226" s="54"/>
      <c r="L226" s="54"/>
      <c r="M226" s="54"/>
      <c r="O226" s="56"/>
      <c r="P226" s="54"/>
    </row>
    <row r="227" spans="4:16" x14ac:dyDescent="0.2">
      <c r="D227" s="54"/>
      <c r="G227" s="54"/>
      <c r="H227" s="54"/>
      <c r="I227" s="54"/>
      <c r="J227" s="54"/>
      <c r="K227" s="54"/>
      <c r="L227" s="54"/>
      <c r="M227" s="54"/>
      <c r="O227" s="56"/>
      <c r="P227" s="54"/>
    </row>
    <row r="228" spans="4:16" x14ac:dyDescent="0.2">
      <c r="D228" s="54"/>
      <c r="G228" s="54"/>
      <c r="H228" s="54"/>
      <c r="I228" s="54"/>
      <c r="J228" s="54"/>
      <c r="K228" s="54"/>
      <c r="L228" s="54"/>
      <c r="M228" s="54"/>
      <c r="O228" s="56"/>
      <c r="P228" s="54"/>
    </row>
    <row r="229" spans="4:16" x14ac:dyDescent="0.2">
      <c r="D229" s="54"/>
      <c r="G229" s="54"/>
      <c r="H229" s="54"/>
      <c r="I229" s="54"/>
      <c r="J229" s="54"/>
      <c r="K229" s="54"/>
      <c r="L229" s="54"/>
      <c r="M229" s="54"/>
      <c r="O229" s="56"/>
      <c r="P229" s="54"/>
    </row>
    <row r="230" spans="4:16" x14ac:dyDescent="0.2">
      <c r="D230" s="54"/>
      <c r="G230" s="54"/>
      <c r="H230" s="54"/>
      <c r="I230" s="54"/>
      <c r="J230" s="54"/>
      <c r="K230" s="54"/>
      <c r="L230" s="54"/>
      <c r="M230" s="54"/>
      <c r="O230" s="56"/>
      <c r="P230" s="54"/>
    </row>
    <row r="231" spans="4:16" x14ac:dyDescent="0.2">
      <c r="D231" s="54"/>
      <c r="G231" s="54"/>
      <c r="H231" s="54"/>
      <c r="I231" s="54"/>
      <c r="J231" s="54"/>
      <c r="K231" s="54"/>
      <c r="L231" s="54"/>
      <c r="M231" s="54"/>
      <c r="O231" s="56"/>
      <c r="P231" s="54"/>
    </row>
    <row r="232" spans="4:16" x14ac:dyDescent="0.2">
      <c r="D232" s="54"/>
      <c r="G232" s="54"/>
      <c r="H232" s="54"/>
      <c r="I232" s="54"/>
      <c r="J232" s="54"/>
      <c r="K232" s="54"/>
      <c r="L232" s="54"/>
      <c r="M232" s="54"/>
      <c r="O232" s="56"/>
      <c r="P232" s="54"/>
    </row>
    <row r="233" spans="4:16" x14ac:dyDescent="0.2">
      <c r="D233" s="54"/>
      <c r="G233" s="54"/>
      <c r="H233" s="54"/>
      <c r="I233" s="54"/>
      <c r="J233" s="54"/>
      <c r="K233" s="54"/>
      <c r="L233" s="54"/>
      <c r="M233" s="54"/>
      <c r="O233" s="56"/>
      <c r="P233" s="54"/>
    </row>
    <row r="234" spans="4:16" x14ac:dyDescent="0.2">
      <c r="D234" s="54"/>
      <c r="G234" s="54"/>
      <c r="H234" s="54"/>
      <c r="I234" s="54"/>
      <c r="J234" s="54"/>
      <c r="K234" s="54"/>
      <c r="L234" s="54"/>
      <c r="M234" s="54"/>
      <c r="O234" s="56"/>
      <c r="P234" s="54"/>
    </row>
    <row r="235" spans="4:16" x14ac:dyDescent="0.2">
      <c r="D235" s="54"/>
      <c r="G235" s="54"/>
      <c r="H235" s="54"/>
      <c r="I235" s="54"/>
      <c r="J235" s="54"/>
      <c r="K235" s="54"/>
      <c r="L235" s="54"/>
      <c r="M235" s="54"/>
      <c r="O235" s="56"/>
      <c r="P235" s="54"/>
    </row>
    <row r="236" spans="4:16" x14ac:dyDescent="0.2">
      <c r="D236" s="54"/>
      <c r="G236" s="54"/>
      <c r="H236" s="54"/>
      <c r="I236" s="54"/>
      <c r="J236" s="54"/>
      <c r="K236" s="54"/>
      <c r="L236" s="54"/>
      <c r="M236" s="54"/>
      <c r="O236" s="56"/>
      <c r="P236" s="54"/>
    </row>
    <row r="237" spans="4:16" x14ac:dyDescent="0.2">
      <c r="D237" s="54"/>
      <c r="G237" s="54"/>
      <c r="H237" s="54"/>
      <c r="I237" s="54"/>
      <c r="J237" s="54"/>
      <c r="K237" s="54"/>
      <c r="L237" s="54"/>
      <c r="M237" s="54"/>
      <c r="O237" s="56"/>
      <c r="P237" s="54"/>
    </row>
    <row r="238" spans="4:16" x14ac:dyDescent="0.2">
      <c r="D238" s="54"/>
      <c r="G238" s="54"/>
      <c r="H238" s="54"/>
      <c r="I238" s="54"/>
      <c r="J238" s="54"/>
      <c r="K238" s="54"/>
      <c r="L238" s="54"/>
      <c r="M238" s="54"/>
      <c r="O238" s="56"/>
      <c r="P238" s="54"/>
    </row>
    <row r="239" spans="4:16" x14ac:dyDescent="0.2">
      <c r="D239" s="54"/>
      <c r="G239" s="54"/>
      <c r="H239" s="54"/>
      <c r="I239" s="54"/>
      <c r="J239" s="54"/>
      <c r="K239" s="54"/>
      <c r="L239" s="54"/>
      <c r="M239" s="54"/>
      <c r="O239" s="56"/>
      <c r="P239" s="54"/>
    </row>
    <row r="240" spans="4:16" x14ac:dyDescent="0.2">
      <c r="D240" s="54"/>
      <c r="G240" s="54"/>
      <c r="H240" s="54"/>
      <c r="I240" s="54"/>
      <c r="J240" s="54"/>
      <c r="K240" s="54"/>
      <c r="L240" s="54"/>
      <c r="M240" s="54"/>
      <c r="O240" s="56"/>
      <c r="P240" s="54"/>
    </row>
    <row r="241" spans="4:16" x14ac:dyDescent="0.2">
      <c r="D241" s="54"/>
      <c r="G241" s="54"/>
      <c r="H241" s="54"/>
      <c r="I241" s="54"/>
      <c r="J241" s="54"/>
      <c r="K241" s="54"/>
      <c r="L241" s="54"/>
      <c r="M241" s="54"/>
      <c r="O241" s="56"/>
      <c r="P241" s="54"/>
    </row>
    <row r="242" spans="4:16" x14ac:dyDescent="0.2">
      <c r="D242" s="54"/>
      <c r="G242" s="54"/>
      <c r="H242" s="54"/>
      <c r="I242" s="54"/>
      <c r="J242" s="54"/>
      <c r="K242" s="54"/>
      <c r="L242" s="54"/>
      <c r="M242" s="54"/>
      <c r="O242" s="56"/>
      <c r="P242" s="54"/>
    </row>
    <row r="243" spans="4:16" x14ac:dyDescent="0.2">
      <c r="D243" s="54"/>
      <c r="G243" s="54"/>
      <c r="H243" s="54"/>
      <c r="I243" s="54"/>
      <c r="J243" s="54"/>
      <c r="K243" s="54"/>
      <c r="L243" s="54"/>
      <c r="M243" s="54"/>
      <c r="O243" s="56"/>
      <c r="P243" s="54"/>
    </row>
    <row r="244" spans="4:16" x14ac:dyDescent="0.2">
      <c r="D244" s="54"/>
      <c r="G244" s="54"/>
      <c r="H244" s="54"/>
      <c r="I244" s="54"/>
      <c r="J244" s="54"/>
      <c r="K244" s="54"/>
      <c r="L244" s="54"/>
      <c r="M244" s="54"/>
      <c r="O244" s="56"/>
      <c r="P244" s="54"/>
    </row>
    <row r="245" spans="4:16" x14ac:dyDescent="0.2">
      <c r="D245" s="54"/>
      <c r="G245" s="54"/>
      <c r="H245" s="54"/>
      <c r="I245" s="54"/>
      <c r="J245" s="54"/>
      <c r="K245" s="54"/>
      <c r="L245" s="54"/>
      <c r="M245" s="54"/>
      <c r="O245" s="56"/>
      <c r="P245" s="54"/>
    </row>
    <row r="246" spans="4:16" x14ac:dyDescent="0.2">
      <c r="D246" s="54"/>
      <c r="G246" s="54"/>
      <c r="H246" s="54"/>
      <c r="I246" s="54"/>
      <c r="J246" s="54"/>
      <c r="K246" s="54"/>
      <c r="L246" s="54"/>
      <c r="M246" s="54"/>
      <c r="O246" s="56"/>
      <c r="P246" s="54"/>
    </row>
    <row r="247" spans="4:16" x14ac:dyDescent="0.2">
      <c r="D247" s="54"/>
      <c r="G247" s="54"/>
      <c r="H247" s="54"/>
      <c r="I247" s="54"/>
      <c r="J247" s="54"/>
      <c r="K247" s="54"/>
      <c r="L247" s="54"/>
      <c r="M247" s="54"/>
      <c r="O247" s="56"/>
      <c r="P247" s="54"/>
    </row>
    <row r="248" spans="4:16" x14ac:dyDescent="0.2">
      <c r="D248" s="54"/>
      <c r="G248" s="54"/>
      <c r="H248" s="54"/>
      <c r="I248" s="54"/>
      <c r="J248" s="54"/>
      <c r="K248" s="54"/>
      <c r="L248" s="54"/>
      <c r="M248" s="54"/>
      <c r="O248" s="56"/>
      <c r="P248" s="54"/>
    </row>
    <row r="249" spans="4:16" x14ac:dyDescent="0.2">
      <c r="D249" s="54"/>
      <c r="G249" s="54"/>
      <c r="H249" s="54"/>
      <c r="I249" s="54"/>
      <c r="J249" s="54"/>
      <c r="K249" s="54"/>
      <c r="L249" s="54"/>
      <c r="M249" s="54"/>
      <c r="O249" s="56"/>
      <c r="P249" s="54"/>
    </row>
    <row r="250" spans="4:16" x14ac:dyDescent="0.2">
      <c r="D250" s="54"/>
      <c r="G250" s="54"/>
      <c r="H250" s="54"/>
      <c r="I250" s="54"/>
      <c r="J250" s="54"/>
      <c r="K250" s="54"/>
      <c r="L250" s="54"/>
      <c r="M250" s="54"/>
      <c r="O250" s="56"/>
      <c r="P250" s="54"/>
    </row>
    <row r="251" spans="4:16" x14ac:dyDescent="0.2">
      <c r="D251" s="54"/>
      <c r="G251" s="54"/>
      <c r="H251" s="54"/>
      <c r="I251" s="54"/>
      <c r="J251" s="54"/>
      <c r="K251" s="54"/>
      <c r="L251" s="54"/>
      <c r="M251" s="54"/>
      <c r="O251" s="56"/>
      <c r="P251" s="54"/>
    </row>
    <row r="252" spans="4:16" x14ac:dyDescent="0.2">
      <c r="D252" s="54"/>
      <c r="G252" s="54"/>
      <c r="H252" s="54"/>
      <c r="I252" s="54"/>
      <c r="J252" s="54"/>
      <c r="K252" s="54"/>
      <c r="L252" s="54"/>
      <c r="M252" s="54"/>
      <c r="O252" s="56"/>
      <c r="P252" s="54"/>
    </row>
    <row r="253" spans="4:16" x14ac:dyDescent="0.2">
      <c r="D253" s="54"/>
      <c r="G253" s="54"/>
      <c r="H253" s="54"/>
      <c r="I253" s="54"/>
      <c r="J253" s="54"/>
      <c r="K253" s="54"/>
      <c r="L253" s="54"/>
      <c r="M253" s="54"/>
      <c r="O253" s="56"/>
      <c r="P253" s="54"/>
    </row>
    <row r="254" spans="4:16" x14ac:dyDescent="0.2">
      <c r="D254" s="54"/>
      <c r="G254" s="54"/>
      <c r="H254" s="54"/>
      <c r="I254" s="54"/>
      <c r="J254" s="54"/>
      <c r="K254" s="54"/>
      <c r="L254" s="54"/>
      <c r="M254" s="54"/>
      <c r="O254" s="56"/>
      <c r="P254" s="54"/>
    </row>
    <row r="255" spans="4:16" x14ac:dyDescent="0.2">
      <c r="D255" s="54"/>
      <c r="G255" s="54"/>
      <c r="H255" s="54"/>
      <c r="I255" s="54"/>
      <c r="J255" s="54"/>
      <c r="K255" s="54"/>
      <c r="L255" s="54"/>
      <c r="M255" s="54"/>
      <c r="O255" s="56"/>
      <c r="P255" s="54"/>
    </row>
    <row r="256" spans="4:16" x14ac:dyDescent="0.2">
      <c r="D256" s="54"/>
      <c r="G256" s="54"/>
      <c r="H256" s="54"/>
      <c r="I256" s="54"/>
      <c r="J256" s="54"/>
      <c r="K256" s="54"/>
      <c r="L256" s="54"/>
      <c r="M256" s="54"/>
      <c r="O256" s="56"/>
      <c r="P256" s="54"/>
    </row>
    <row r="257" spans="4:16" x14ac:dyDescent="0.2">
      <c r="D257" s="54"/>
      <c r="G257" s="54"/>
      <c r="H257" s="54"/>
      <c r="I257" s="54"/>
      <c r="J257" s="54"/>
      <c r="K257" s="54"/>
      <c r="L257" s="54"/>
      <c r="M257" s="54"/>
      <c r="O257" s="56"/>
      <c r="P257" s="54"/>
    </row>
    <row r="258" spans="4:16" x14ac:dyDescent="0.2">
      <c r="D258" s="54"/>
      <c r="G258" s="54"/>
      <c r="H258" s="54"/>
      <c r="I258" s="54"/>
      <c r="J258" s="54"/>
      <c r="K258" s="54"/>
      <c r="L258" s="54"/>
      <c r="M258" s="54"/>
      <c r="O258" s="56"/>
      <c r="P258" s="54"/>
    </row>
    <row r="259" spans="4:16" x14ac:dyDescent="0.2">
      <c r="D259" s="54"/>
      <c r="G259" s="54"/>
      <c r="H259" s="54"/>
      <c r="I259" s="54"/>
      <c r="J259" s="54"/>
      <c r="K259" s="54"/>
      <c r="L259" s="54"/>
      <c r="M259" s="54"/>
      <c r="O259" s="56"/>
      <c r="P259" s="54"/>
    </row>
    <row r="260" spans="4:16" x14ac:dyDescent="0.2">
      <c r="D260" s="54"/>
      <c r="G260" s="54"/>
      <c r="H260" s="54"/>
      <c r="I260" s="54"/>
      <c r="J260" s="54"/>
      <c r="K260" s="54"/>
      <c r="L260" s="54"/>
      <c r="M260" s="54"/>
      <c r="O260" s="56"/>
      <c r="P260" s="54"/>
    </row>
    <row r="261" spans="4:16" x14ac:dyDescent="0.2">
      <c r="D261" s="54"/>
      <c r="G261" s="54"/>
      <c r="H261" s="54"/>
      <c r="I261" s="54"/>
      <c r="J261" s="54"/>
      <c r="K261" s="54"/>
      <c r="L261" s="54"/>
      <c r="M261" s="54"/>
      <c r="O261" s="56"/>
      <c r="P261" s="54"/>
    </row>
    <row r="262" spans="4:16" x14ac:dyDescent="0.2">
      <c r="D262" s="54"/>
      <c r="G262" s="54"/>
      <c r="H262" s="54"/>
      <c r="I262" s="54"/>
      <c r="J262" s="54"/>
      <c r="K262" s="54"/>
      <c r="L262" s="54"/>
      <c r="M262" s="54"/>
      <c r="O262" s="56"/>
      <c r="P262" s="54"/>
    </row>
    <row r="263" spans="4:16" x14ac:dyDescent="0.2">
      <c r="D263" s="54"/>
      <c r="G263" s="54"/>
      <c r="H263" s="54"/>
      <c r="I263" s="54"/>
      <c r="J263" s="54"/>
      <c r="K263" s="54"/>
      <c r="L263" s="54"/>
      <c r="M263" s="54"/>
      <c r="O263" s="56"/>
      <c r="P263" s="54"/>
    </row>
    <row r="264" spans="4:16" x14ac:dyDescent="0.2">
      <c r="D264" s="54"/>
      <c r="G264" s="54"/>
      <c r="H264" s="54"/>
      <c r="I264" s="54"/>
      <c r="J264" s="54"/>
      <c r="K264" s="54"/>
      <c r="L264" s="54"/>
      <c r="M264" s="54"/>
      <c r="O264" s="56"/>
      <c r="P264" s="54"/>
    </row>
    <row r="265" spans="4:16" x14ac:dyDescent="0.2">
      <c r="D265" s="54"/>
      <c r="G265" s="54"/>
      <c r="H265" s="54"/>
      <c r="I265" s="54"/>
      <c r="J265" s="54"/>
      <c r="K265" s="54"/>
      <c r="L265" s="54"/>
      <c r="M265" s="54"/>
      <c r="O265" s="56"/>
      <c r="P265" s="54"/>
    </row>
    <row r="266" spans="4:16" x14ac:dyDescent="0.2">
      <c r="D266" s="54"/>
      <c r="G266" s="54"/>
      <c r="H266" s="54"/>
      <c r="I266" s="54"/>
      <c r="J266" s="54"/>
      <c r="K266" s="54"/>
      <c r="L266" s="54"/>
      <c r="M266" s="54"/>
      <c r="O266" s="56"/>
      <c r="P266" s="54"/>
    </row>
    <row r="267" spans="4:16" x14ac:dyDescent="0.2">
      <c r="D267" s="54"/>
      <c r="G267" s="54"/>
      <c r="H267" s="54"/>
      <c r="I267" s="54"/>
      <c r="J267" s="54"/>
      <c r="K267" s="54"/>
      <c r="L267" s="54"/>
      <c r="M267" s="54"/>
      <c r="O267" s="56"/>
      <c r="P267" s="54"/>
    </row>
    <row r="268" spans="4:16" x14ac:dyDescent="0.2">
      <c r="D268" s="54"/>
      <c r="G268" s="54"/>
      <c r="H268" s="54"/>
      <c r="I268" s="54"/>
      <c r="J268" s="54"/>
      <c r="K268" s="54"/>
      <c r="L268" s="54"/>
      <c r="M268" s="54"/>
      <c r="O268" s="56"/>
      <c r="P268" s="54"/>
    </row>
    <row r="269" spans="4:16" x14ac:dyDescent="0.2">
      <c r="D269" s="54"/>
      <c r="G269" s="54"/>
      <c r="H269" s="54"/>
      <c r="I269" s="54"/>
      <c r="J269" s="54"/>
      <c r="K269" s="54"/>
      <c r="L269" s="54"/>
      <c r="M269" s="54"/>
      <c r="O269" s="56"/>
      <c r="P269" s="54"/>
    </row>
    <row r="270" spans="4:16" x14ac:dyDescent="0.2">
      <c r="D270" s="54"/>
      <c r="G270" s="54"/>
      <c r="H270" s="54"/>
      <c r="I270" s="54"/>
      <c r="J270" s="54"/>
      <c r="K270" s="54"/>
      <c r="L270" s="54"/>
      <c r="M270" s="54"/>
      <c r="O270" s="56"/>
      <c r="P270" s="54"/>
    </row>
    <row r="271" spans="4:16" x14ac:dyDescent="0.2">
      <c r="D271" s="54"/>
      <c r="G271" s="54"/>
      <c r="H271" s="54"/>
      <c r="I271" s="54"/>
      <c r="J271" s="54"/>
      <c r="K271" s="54"/>
      <c r="L271" s="54"/>
      <c r="M271" s="54"/>
      <c r="O271" s="56"/>
      <c r="P271" s="54"/>
    </row>
    <row r="272" spans="4:16" x14ac:dyDescent="0.2">
      <c r="D272" s="54"/>
      <c r="G272" s="54"/>
      <c r="H272" s="54"/>
      <c r="I272" s="54"/>
      <c r="J272" s="54"/>
      <c r="K272" s="54"/>
      <c r="L272" s="54"/>
      <c r="M272" s="54"/>
      <c r="O272" s="56"/>
      <c r="P272" s="54"/>
    </row>
    <row r="273" spans="4:16" x14ac:dyDescent="0.2">
      <c r="D273" s="54"/>
      <c r="G273" s="54"/>
      <c r="H273" s="54"/>
      <c r="I273" s="54"/>
      <c r="J273" s="54"/>
      <c r="K273" s="54"/>
      <c r="L273" s="54"/>
      <c r="M273" s="54"/>
      <c r="O273" s="56"/>
      <c r="P273" s="54"/>
    </row>
    <row r="274" spans="4:16" x14ac:dyDescent="0.2">
      <c r="D274" s="54"/>
      <c r="G274" s="54"/>
      <c r="H274" s="54"/>
      <c r="I274" s="54"/>
      <c r="J274" s="54"/>
      <c r="K274" s="54"/>
      <c r="L274" s="54"/>
      <c r="M274" s="54"/>
      <c r="O274" s="56"/>
      <c r="P274" s="54"/>
    </row>
    <row r="275" spans="4:16" x14ac:dyDescent="0.2">
      <c r="D275" s="54"/>
      <c r="G275" s="54"/>
      <c r="H275" s="54"/>
      <c r="I275" s="54"/>
      <c r="J275" s="54"/>
      <c r="K275" s="54"/>
      <c r="L275" s="54"/>
      <c r="M275" s="54"/>
      <c r="O275" s="56"/>
      <c r="P275" s="54"/>
    </row>
    <row r="276" spans="4:16" x14ac:dyDescent="0.2">
      <c r="D276" s="54"/>
      <c r="G276" s="54"/>
      <c r="H276" s="54"/>
      <c r="I276" s="54"/>
      <c r="J276" s="54"/>
      <c r="K276" s="54"/>
      <c r="L276" s="54"/>
      <c r="M276" s="54"/>
      <c r="O276" s="56"/>
      <c r="P276" s="54"/>
    </row>
    <row r="277" spans="4:16" x14ac:dyDescent="0.2">
      <c r="D277" s="54"/>
      <c r="G277" s="54"/>
      <c r="H277" s="54"/>
      <c r="I277" s="54"/>
      <c r="J277" s="54"/>
      <c r="K277" s="54"/>
      <c r="L277" s="54"/>
      <c r="M277" s="54"/>
      <c r="O277" s="56"/>
      <c r="P277" s="54"/>
    </row>
    <row r="278" spans="4:16" x14ac:dyDescent="0.2">
      <c r="D278" s="54"/>
      <c r="G278" s="54"/>
      <c r="H278" s="54"/>
      <c r="I278" s="54"/>
      <c r="J278" s="54"/>
      <c r="K278" s="54"/>
      <c r="L278" s="54"/>
      <c r="M278" s="54"/>
      <c r="O278" s="56"/>
      <c r="P278" s="54"/>
    </row>
    <row r="279" spans="4:16" x14ac:dyDescent="0.2">
      <c r="D279" s="54"/>
      <c r="G279" s="54"/>
      <c r="H279" s="54"/>
      <c r="I279" s="54"/>
      <c r="J279" s="54"/>
      <c r="K279" s="54"/>
      <c r="L279" s="54"/>
      <c r="M279" s="54"/>
      <c r="O279" s="56"/>
      <c r="P279" s="54"/>
    </row>
    <row r="280" spans="4:16" x14ac:dyDescent="0.2">
      <c r="D280" s="54"/>
      <c r="G280" s="54"/>
      <c r="H280" s="54"/>
      <c r="I280" s="54"/>
      <c r="J280" s="54"/>
      <c r="K280" s="54"/>
      <c r="L280" s="54"/>
      <c r="M280" s="54"/>
      <c r="O280" s="56"/>
      <c r="P280" s="54"/>
    </row>
    <row r="281" spans="4:16" x14ac:dyDescent="0.2">
      <c r="D281" s="54"/>
      <c r="G281" s="54"/>
      <c r="H281" s="54"/>
      <c r="I281" s="54"/>
      <c r="J281" s="54"/>
      <c r="K281" s="54"/>
      <c r="L281" s="54"/>
      <c r="M281" s="54"/>
      <c r="O281" s="56"/>
      <c r="P281" s="54"/>
    </row>
    <row r="282" spans="4:16" x14ac:dyDescent="0.2">
      <c r="D282" s="54"/>
      <c r="G282" s="54"/>
      <c r="H282" s="54"/>
      <c r="I282" s="54"/>
      <c r="J282" s="54"/>
      <c r="K282" s="54"/>
      <c r="L282" s="54"/>
      <c r="M282" s="54"/>
      <c r="O282" s="56"/>
      <c r="P282" s="54"/>
    </row>
    <row r="283" spans="4:16" x14ac:dyDescent="0.2">
      <c r="D283" s="54"/>
      <c r="G283" s="54"/>
      <c r="H283" s="54"/>
      <c r="I283" s="54"/>
      <c r="J283" s="54"/>
      <c r="K283" s="54"/>
      <c r="L283" s="54"/>
      <c r="M283" s="54"/>
      <c r="O283" s="56"/>
      <c r="P283" s="54"/>
    </row>
    <row r="284" spans="4:16" x14ac:dyDescent="0.2">
      <c r="D284" s="54"/>
      <c r="G284" s="54"/>
      <c r="H284" s="54"/>
      <c r="I284" s="54"/>
      <c r="J284" s="54"/>
      <c r="K284" s="54"/>
      <c r="L284" s="54"/>
      <c r="M284" s="54"/>
      <c r="O284" s="56"/>
      <c r="P284" s="54"/>
    </row>
    <row r="285" spans="4:16" x14ac:dyDescent="0.2">
      <c r="D285" s="54"/>
      <c r="G285" s="54"/>
      <c r="H285" s="54"/>
      <c r="I285" s="54"/>
      <c r="J285" s="54"/>
      <c r="K285" s="54"/>
      <c r="L285" s="54"/>
      <c r="M285" s="54"/>
      <c r="O285" s="56"/>
      <c r="P285" s="54"/>
    </row>
    <row r="286" spans="4:16" x14ac:dyDescent="0.2">
      <c r="D286" s="54"/>
      <c r="G286" s="54"/>
      <c r="H286" s="54"/>
      <c r="I286" s="54"/>
      <c r="J286" s="54"/>
      <c r="K286" s="54"/>
      <c r="L286" s="54"/>
      <c r="M286" s="54"/>
      <c r="O286" s="56"/>
      <c r="P286" s="54"/>
    </row>
    <row r="287" spans="4:16" x14ac:dyDescent="0.2">
      <c r="D287" s="54"/>
      <c r="G287" s="54"/>
      <c r="H287" s="54"/>
      <c r="I287" s="54"/>
      <c r="J287" s="54"/>
      <c r="K287" s="54"/>
      <c r="L287" s="54"/>
      <c r="M287" s="54"/>
      <c r="O287" s="56"/>
      <c r="P287" s="54"/>
    </row>
    <row r="288" spans="4:16" x14ac:dyDescent="0.2">
      <c r="D288" s="54"/>
      <c r="G288" s="54"/>
      <c r="H288" s="54"/>
      <c r="I288" s="54"/>
      <c r="J288" s="54"/>
      <c r="K288" s="54"/>
      <c r="L288" s="54"/>
      <c r="M288" s="54"/>
      <c r="O288" s="56"/>
      <c r="P288" s="54"/>
    </row>
    <row r="289" spans="4:16" x14ac:dyDescent="0.2">
      <c r="D289" s="54"/>
      <c r="G289" s="54"/>
      <c r="H289" s="54"/>
      <c r="I289" s="54"/>
      <c r="J289" s="54"/>
      <c r="K289" s="54"/>
      <c r="L289" s="54"/>
      <c r="M289" s="54"/>
      <c r="O289" s="56"/>
      <c r="P289" s="54"/>
    </row>
    <row r="290" spans="4:16" x14ac:dyDescent="0.2">
      <c r="D290" s="54"/>
      <c r="G290" s="54"/>
      <c r="H290" s="54"/>
      <c r="I290" s="54"/>
      <c r="J290" s="54"/>
      <c r="K290" s="54"/>
      <c r="L290" s="54"/>
      <c r="M290" s="54"/>
      <c r="O290" s="56"/>
      <c r="P290" s="54"/>
    </row>
    <row r="291" spans="4:16" x14ac:dyDescent="0.2">
      <c r="D291" s="54"/>
      <c r="G291" s="54"/>
      <c r="H291" s="54"/>
      <c r="I291" s="54"/>
      <c r="J291" s="54"/>
      <c r="K291" s="54"/>
      <c r="L291" s="54"/>
      <c r="M291" s="54"/>
      <c r="O291" s="56"/>
      <c r="P291" s="54"/>
    </row>
    <row r="292" spans="4:16" x14ac:dyDescent="0.2">
      <c r="D292" s="54"/>
      <c r="G292" s="54"/>
      <c r="H292" s="54"/>
      <c r="I292" s="54"/>
      <c r="J292" s="54"/>
      <c r="K292" s="54"/>
      <c r="L292" s="54"/>
      <c r="M292" s="54"/>
      <c r="O292" s="56"/>
      <c r="P292" s="54"/>
    </row>
    <row r="293" spans="4:16" x14ac:dyDescent="0.2">
      <c r="D293" s="54"/>
      <c r="G293" s="54"/>
      <c r="H293" s="54"/>
      <c r="I293" s="54"/>
      <c r="J293" s="54"/>
      <c r="K293" s="54"/>
      <c r="L293" s="54"/>
      <c r="M293" s="54"/>
      <c r="O293" s="56"/>
      <c r="P293" s="54"/>
    </row>
    <row r="294" spans="4:16" x14ac:dyDescent="0.2">
      <c r="D294" s="54"/>
      <c r="G294" s="54"/>
      <c r="H294" s="54"/>
      <c r="I294" s="54"/>
      <c r="J294" s="54"/>
      <c r="K294" s="54"/>
      <c r="L294" s="54"/>
      <c r="M294" s="54"/>
      <c r="O294" s="56"/>
      <c r="P294" s="54"/>
    </row>
    <row r="295" spans="4:16" x14ac:dyDescent="0.2">
      <c r="D295" s="54"/>
      <c r="G295" s="54"/>
      <c r="H295" s="54"/>
      <c r="I295" s="54"/>
      <c r="J295" s="54"/>
      <c r="K295" s="54"/>
      <c r="L295" s="54"/>
      <c r="M295" s="54"/>
      <c r="O295" s="56"/>
      <c r="P295" s="54"/>
    </row>
    <row r="296" spans="4:16" x14ac:dyDescent="0.2">
      <c r="D296" s="54"/>
      <c r="G296" s="54"/>
      <c r="H296" s="54"/>
      <c r="I296" s="54"/>
      <c r="J296" s="54"/>
      <c r="K296" s="54"/>
      <c r="L296" s="54"/>
      <c r="M296" s="54"/>
      <c r="O296" s="56"/>
      <c r="P296" s="54"/>
    </row>
    <row r="297" spans="4:16" x14ac:dyDescent="0.2">
      <c r="D297" s="54"/>
      <c r="G297" s="54"/>
      <c r="H297" s="54"/>
      <c r="I297" s="54"/>
      <c r="J297" s="54"/>
      <c r="K297" s="54"/>
      <c r="L297" s="54"/>
      <c r="M297" s="54"/>
      <c r="O297" s="56"/>
      <c r="P297" s="54"/>
    </row>
    <row r="298" spans="4:16" x14ac:dyDescent="0.2">
      <c r="D298" s="54"/>
      <c r="G298" s="54"/>
      <c r="H298" s="54"/>
      <c r="I298" s="54"/>
      <c r="J298" s="54"/>
      <c r="K298" s="54"/>
      <c r="L298" s="54"/>
      <c r="M298" s="54"/>
      <c r="O298" s="56"/>
      <c r="P298" s="54"/>
    </row>
    <row r="299" spans="4:16" x14ac:dyDescent="0.2">
      <c r="D299" s="54"/>
      <c r="G299" s="54"/>
      <c r="H299" s="54"/>
      <c r="I299" s="54"/>
      <c r="J299" s="54"/>
      <c r="K299" s="54"/>
      <c r="L299" s="54"/>
      <c r="M299" s="54"/>
      <c r="O299" s="56"/>
      <c r="P299" s="54"/>
    </row>
    <row r="300" spans="4:16" x14ac:dyDescent="0.2">
      <c r="D300" s="54"/>
      <c r="G300" s="54"/>
      <c r="H300" s="54"/>
      <c r="I300" s="54"/>
      <c r="J300" s="54"/>
      <c r="K300" s="54"/>
      <c r="L300" s="54"/>
      <c r="M300" s="54"/>
      <c r="O300" s="56"/>
      <c r="P300" s="54"/>
    </row>
    <row r="301" spans="4:16" x14ac:dyDescent="0.2">
      <c r="D301" s="54"/>
      <c r="G301" s="54"/>
      <c r="H301" s="54"/>
      <c r="I301" s="54"/>
      <c r="J301" s="54"/>
      <c r="K301" s="54"/>
      <c r="L301" s="54"/>
      <c r="M301" s="54"/>
      <c r="O301" s="56"/>
      <c r="P301" s="54"/>
    </row>
    <row r="302" spans="4:16" x14ac:dyDescent="0.2">
      <c r="D302" s="54"/>
      <c r="G302" s="54"/>
      <c r="H302" s="54"/>
      <c r="I302" s="54"/>
      <c r="J302" s="54"/>
      <c r="K302" s="54"/>
      <c r="L302" s="54"/>
      <c r="M302" s="54"/>
      <c r="O302" s="56"/>
      <c r="P302" s="54"/>
    </row>
    <row r="303" spans="4:16" x14ac:dyDescent="0.2">
      <c r="D303" s="54"/>
      <c r="G303" s="54"/>
      <c r="H303" s="54"/>
      <c r="I303" s="54"/>
      <c r="J303" s="54"/>
      <c r="K303" s="54"/>
      <c r="L303" s="54"/>
      <c r="M303" s="54"/>
      <c r="O303" s="56"/>
      <c r="P303" s="54"/>
    </row>
    <row r="304" spans="4:16" x14ac:dyDescent="0.2">
      <c r="D304" s="54"/>
      <c r="G304" s="54"/>
      <c r="H304" s="54"/>
      <c r="I304" s="54"/>
      <c r="J304" s="54"/>
      <c r="K304" s="54"/>
      <c r="L304" s="54"/>
      <c r="M304" s="54"/>
      <c r="O304" s="56"/>
      <c r="P304" s="54"/>
    </row>
    <row r="305" spans="4:16" x14ac:dyDescent="0.2">
      <c r="D305" s="54"/>
      <c r="G305" s="54"/>
      <c r="H305" s="54"/>
      <c r="I305" s="54"/>
      <c r="J305" s="54"/>
      <c r="K305" s="54"/>
      <c r="L305" s="54"/>
      <c r="M305" s="54"/>
      <c r="O305" s="56"/>
      <c r="P305" s="54"/>
    </row>
    <row r="306" spans="4:16" x14ac:dyDescent="0.2">
      <c r="D306" s="54"/>
      <c r="G306" s="54"/>
      <c r="H306" s="54"/>
      <c r="I306" s="54"/>
      <c r="J306" s="54"/>
      <c r="K306" s="54"/>
      <c r="L306" s="54"/>
      <c r="M306" s="54"/>
      <c r="O306" s="56"/>
      <c r="P306" s="54"/>
    </row>
    <row r="307" spans="4:16" x14ac:dyDescent="0.2">
      <c r="D307" s="54"/>
      <c r="G307" s="54"/>
      <c r="H307" s="54"/>
      <c r="I307" s="54"/>
      <c r="J307" s="54"/>
      <c r="K307" s="54"/>
      <c r="L307" s="54"/>
      <c r="M307" s="54"/>
      <c r="O307" s="56"/>
      <c r="P307" s="54"/>
    </row>
    <row r="308" spans="4:16" x14ac:dyDescent="0.2">
      <c r="D308" s="54"/>
      <c r="G308" s="54"/>
      <c r="H308" s="54"/>
      <c r="I308" s="54"/>
      <c r="J308" s="54"/>
      <c r="K308" s="54"/>
      <c r="L308" s="54"/>
      <c r="M308" s="54"/>
      <c r="O308" s="56"/>
      <c r="P308" s="54"/>
    </row>
    <row r="309" spans="4:16" x14ac:dyDescent="0.2">
      <c r="D309" s="54"/>
      <c r="G309" s="54"/>
      <c r="H309" s="54"/>
      <c r="I309" s="54"/>
      <c r="J309" s="54"/>
      <c r="K309" s="54"/>
      <c r="L309" s="54"/>
      <c r="M309" s="54"/>
      <c r="O309" s="56"/>
      <c r="P309" s="54"/>
    </row>
    <row r="310" spans="4:16" x14ac:dyDescent="0.2">
      <c r="D310" s="54"/>
      <c r="G310" s="54"/>
      <c r="H310" s="54"/>
      <c r="I310" s="54"/>
      <c r="J310" s="54"/>
      <c r="K310" s="54"/>
      <c r="L310" s="54"/>
      <c r="M310" s="54"/>
      <c r="O310" s="56"/>
      <c r="P310" s="54"/>
    </row>
    <row r="311" spans="4:16" x14ac:dyDescent="0.2">
      <c r="D311" s="54"/>
      <c r="G311" s="54"/>
      <c r="H311" s="54"/>
      <c r="I311" s="54"/>
      <c r="J311" s="54"/>
      <c r="K311" s="54"/>
      <c r="L311" s="54"/>
      <c r="M311" s="54"/>
      <c r="O311" s="56"/>
      <c r="P311" s="54"/>
    </row>
    <row r="312" spans="4:16" x14ac:dyDescent="0.2">
      <c r="D312" s="54"/>
      <c r="G312" s="54"/>
      <c r="H312" s="54"/>
      <c r="I312" s="54"/>
      <c r="J312" s="54"/>
      <c r="K312" s="54"/>
      <c r="L312" s="54"/>
      <c r="M312" s="54"/>
      <c r="O312" s="56"/>
      <c r="P312" s="54"/>
    </row>
    <row r="313" spans="4:16" x14ac:dyDescent="0.2">
      <c r="D313" s="54"/>
      <c r="G313" s="54"/>
      <c r="H313" s="54"/>
      <c r="I313" s="54"/>
      <c r="J313" s="54"/>
      <c r="K313" s="54"/>
      <c r="L313" s="54"/>
      <c r="M313" s="54"/>
      <c r="O313" s="56"/>
      <c r="P313" s="54"/>
    </row>
    <row r="314" spans="4:16" x14ac:dyDescent="0.2">
      <c r="D314" s="54"/>
      <c r="G314" s="54"/>
      <c r="H314" s="54"/>
      <c r="I314" s="54"/>
      <c r="J314" s="54"/>
      <c r="K314" s="54"/>
      <c r="L314" s="54"/>
      <c r="M314" s="54"/>
      <c r="O314" s="56"/>
      <c r="P314" s="54"/>
    </row>
    <row r="315" spans="4:16" x14ac:dyDescent="0.2">
      <c r="D315" s="54"/>
      <c r="G315" s="54"/>
      <c r="H315" s="54"/>
      <c r="I315" s="54"/>
      <c r="J315" s="54"/>
      <c r="K315" s="54"/>
      <c r="L315" s="54"/>
      <c r="M315" s="54"/>
      <c r="O315" s="56"/>
      <c r="P315" s="54"/>
    </row>
    <row r="316" spans="4:16" x14ac:dyDescent="0.2">
      <c r="D316" s="54"/>
      <c r="G316" s="54"/>
      <c r="H316" s="54"/>
      <c r="I316" s="54"/>
      <c r="J316" s="54"/>
      <c r="K316" s="54"/>
      <c r="L316" s="54"/>
      <c r="M316" s="54"/>
      <c r="O316" s="56"/>
      <c r="P316" s="54"/>
    </row>
    <row r="317" spans="4:16" x14ac:dyDescent="0.2">
      <c r="D317" s="54"/>
      <c r="G317" s="54"/>
      <c r="H317" s="54"/>
      <c r="I317" s="54"/>
      <c r="J317" s="54"/>
      <c r="K317" s="54"/>
      <c r="L317" s="54"/>
      <c r="M317" s="54"/>
      <c r="O317" s="56"/>
      <c r="P317" s="54"/>
    </row>
    <row r="318" spans="4:16" x14ac:dyDescent="0.2">
      <c r="D318" s="54"/>
      <c r="G318" s="54"/>
      <c r="H318" s="54"/>
      <c r="I318" s="54"/>
      <c r="J318" s="54"/>
      <c r="K318" s="54"/>
      <c r="L318" s="54"/>
      <c r="M318" s="54"/>
      <c r="O318" s="56"/>
      <c r="P318" s="54"/>
    </row>
    <row r="319" spans="4:16" x14ac:dyDescent="0.2">
      <c r="D319" s="54"/>
      <c r="G319" s="54"/>
      <c r="H319" s="54"/>
      <c r="I319" s="54"/>
      <c r="J319" s="54"/>
      <c r="K319" s="54"/>
      <c r="L319" s="54"/>
      <c r="M319" s="54"/>
      <c r="O319" s="56"/>
      <c r="P319" s="54"/>
    </row>
    <row r="320" spans="4:16" x14ac:dyDescent="0.2">
      <c r="D320" s="54"/>
      <c r="G320" s="54"/>
      <c r="H320" s="54"/>
      <c r="I320" s="54"/>
      <c r="J320" s="54"/>
      <c r="K320" s="54"/>
      <c r="L320" s="54"/>
      <c r="M320" s="54"/>
      <c r="O320" s="56"/>
      <c r="P320" s="54"/>
    </row>
    <row r="321" spans="4:16" x14ac:dyDescent="0.2">
      <c r="D321" s="54"/>
      <c r="G321" s="54"/>
      <c r="H321" s="54"/>
      <c r="I321" s="54"/>
      <c r="J321" s="54"/>
      <c r="K321" s="54"/>
      <c r="L321" s="54"/>
      <c r="M321" s="54"/>
      <c r="O321" s="56"/>
      <c r="P321" s="54"/>
    </row>
    <row r="322" spans="4:16" x14ac:dyDescent="0.2">
      <c r="D322" s="54"/>
      <c r="G322" s="54"/>
      <c r="H322" s="54"/>
      <c r="I322" s="54"/>
      <c r="J322" s="54"/>
      <c r="K322" s="54"/>
      <c r="L322" s="54"/>
      <c r="M322" s="54"/>
      <c r="O322" s="56"/>
      <c r="P322" s="54"/>
    </row>
    <row r="323" spans="4:16" x14ac:dyDescent="0.2">
      <c r="D323" s="54"/>
      <c r="G323" s="54"/>
      <c r="H323" s="54"/>
      <c r="I323" s="54"/>
      <c r="J323" s="54"/>
      <c r="K323" s="54"/>
      <c r="L323" s="54"/>
      <c r="M323" s="54"/>
      <c r="O323" s="56"/>
      <c r="P323" s="54"/>
    </row>
    <row r="324" spans="4:16" x14ac:dyDescent="0.2">
      <c r="D324" s="54"/>
      <c r="G324" s="54"/>
      <c r="H324" s="54"/>
      <c r="I324" s="54"/>
      <c r="J324" s="54"/>
      <c r="K324" s="54"/>
      <c r="L324" s="54"/>
      <c r="M324" s="54"/>
      <c r="O324" s="56"/>
      <c r="P324" s="54"/>
    </row>
    <row r="325" spans="4:16" x14ac:dyDescent="0.2">
      <c r="D325" s="54"/>
      <c r="G325" s="54"/>
      <c r="H325" s="54"/>
      <c r="I325" s="54"/>
      <c r="J325" s="54"/>
      <c r="K325" s="54"/>
      <c r="L325" s="54"/>
      <c r="M325" s="54"/>
      <c r="O325" s="56"/>
      <c r="P325" s="54"/>
    </row>
    <row r="326" spans="4:16" x14ac:dyDescent="0.2">
      <c r="D326" s="54"/>
      <c r="G326" s="54"/>
      <c r="H326" s="54"/>
      <c r="I326" s="54"/>
      <c r="J326" s="54"/>
      <c r="K326" s="54"/>
      <c r="L326" s="54"/>
      <c r="M326" s="54"/>
      <c r="O326" s="56"/>
      <c r="P326" s="54"/>
    </row>
    <row r="327" spans="4:16" x14ac:dyDescent="0.2">
      <c r="D327" s="54"/>
      <c r="G327" s="54"/>
      <c r="H327" s="54"/>
      <c r="I327" s="54"/>
      <c r="J327" s="54"/>
      <c r="K327" s="54"/>
      <c r="L327" s="54"/>
      <c r="M327" s="54"/>
      <c r="O327" s="56"/>
      <c r="P327" s="54"/>
    </row>
    <row r="328" spans="4:16" x14ac:dyDescent="0.2">
      <c r="D328" s="54"/>
      <c r="G328" s="54"/>
      <c r="H328" s="54"/>
      <c r="I328" s="54"/>
      <c r="J328" s="54"/>
      <c r="K328" s="54"/>
      <c r="L328" s="54"/>
      <c r="M328" s="54"/>
      <c r="O328" s="56"/>
      <c r="P328" s="54"/>
    </row>
    <row r="329" spans="4:16" x14ac:dyDescent="0.2">
      <c r="D329" s="54"/>
      <c r="G329" s="54"/>
      <c r="H329" s="54"/>
      <c r="I329" s="54"/>
      <c r="J329" s="54"/>
      <c r="K329" s="54"/>
      <c r="L329" s="54"/>
      <c r="M329" s="54"/>
      <c r="O329" s="56"/>
      <c r="P329" s="54"/>
    </row>
    <row r="330" spans="4:16" x14ac:dyDescent="0.2">
      <c r="D330" s="54"/>
      <c r="G330" s="54"/>
      <c r="H330" s="54"/>
      <c r="I330" s="54"/>
      <c r="J330" s="54"/>
      <c r="K330" s="54"/>
      <c r="L330" s="54"/>
      <c r="M330" s="54"/>
      <c r="O330" s="56"/>
      <c r="P330" s="54"/>
    </row>
    <row r="331" spans="4:16" x14ac:dyDescent="0.2">
      <c r="D331" s="54"/>
      <c r="G331" s="54"/>
      <c r="H331" s="54"/>
      <c r="I331" s="54"/>
      <c r="J331" s="54"/>
      <c r="K331" s="54"/>
      <c r="L331" s="54"/>
      <c r="M331" s="54"/>
      <c r="O331" s="56"/>
      <c r="P331" s="54"/>
    </row>
    <row r="332" spans="4:16" x14ac:dyDescent="0.2">
      <c r="D332" s="54"/>
      <c r="G332" s="54"/>
      <c r="H332" s="54"/>
      <c r="I332" s="54"/>
      <c r="J332" s="54"/>
      <c r="K332" s="54"/>
      <c r="L332" s="54"/>
      <c r="M332" s="54"/>
      <c r="O332" s="56"/>
      <c r="P332" s="54"/>
    </row>
    <row r="333" spans="4:16" x14ac:dyDescent="0.2">
      <c r="D333" s="54"/>
      <c r="G333" s="54"/>
      <c r="H333" s="54"/>
      <c r="I333" s="54"/>
      <c r="J333" s="54"/>
      <c r="K333" s="54"/>
      <c r="L333" s="54"/>
      <c r="M333" s="54"/>
      <c r="O333" s="56"/>
      <c r="P333" s="54"/>
    </row>
    <row r="334" spans="4:16" x14ac:dyDescent="0.2">
      <c r="D334" s="54"/>
      <c r="G334" s="54"/>
      <c r="H334" s="54"/>
      <c r="I334" s="54"/>
      <c r="J334" s="54"/>
      <c r="K334" s="54"/>
      <c r="L334" s="54"/>
      <c r="M334" s="54"/>
      <c r="O334" s="56"/>
      <c r="P334" s="54"/>
    </row>
    <row r="335" spans="4:16" x14ac:dyDescent="0.2">
      <c r="D335" s="54"/>
      <c r="G335" s="54"/>
      <c r="H335" s="54"/>
      <c r="I335" s="54"/>
      <c r="J335" s="54"/>
      <c r="K335" s="54"/>
      <c r="L335" s="54"/>
      <c r="M335" s="54"/>
      <c r="O335" s="56"/>
      <c r="P335" s="54"/>
    </row>
    <row r="336" spans="4:16" x14ac:dyDescent="0.2">
      <c r="D336" s="54"/>
      <c r="G336" s="54"/>
      <c r="H336" s="54"/>
      <c r="I336" s="54"/>
      <c r="J336" s="54"/>
      <c r="K336" s="54"/>
      <c r="L336" s="54"/>
      <c r="M336" s="54"/>
      <c r="O336" s="56"/>
      <c r="P336" s="54"/>
    </row>
    <row r="337" spans="4:16" x14ac:dyDescent="0.2">
      <c r="D337" s="54"/>
      <c r="G337" s="54"/>
      <c r="H337" s="54"/>
      <c r="I337" s="54"/>
      <c r="J337" s="54"/>
      <c r="K337" s="54"/>
      <c r="L337" s="54"/>
      <c r="M337" s="54"/>
      <c r="O337" s="56"/>
      <c r="P337" s="54"/>
    </row>
    <row r="338" spans="4:16" x14ac:dyDescent="0.2">
      <c r="D338" s="54"/>
      <c r="G338" s="54"/>
      <c r="H338" s="54"/>
      <c r="I338" s="54"/>
      <c r="J338" s="54"/>
      <c r="K338" s="54"/>
      <c r="L338" s="54"/>
      <c r="M338" s="54"/>
      <c r="O338" s="56"/>
      <c r="P338" s="54"/>
    </row>
    <row r="339" spans="4:16" x14ac:dyDescent="0.2">
      <c r="D339" s="54"/>
      <c r="G339" s="54"/>
      <c r="H339" s="54"/>
      <c r="I339" s="54"/>
      <c r="J339" s="54"/>
      <c r="K339" s="54"/>
      <c r="L339" s="54"/>
      <c r="M339" s="54"/>
      <c r="O339" s="56"/>
      <c r="P339" s="54"/>
    </row>
    <row r="340" spans="4:16" x14ac:dyDescent="0.2">
      <c r="D340" s="54"/>
      <c r="G340" s="54"/>
      <c r="H340" s="54"/>
      <c r="I340" s="54"/>
      <c r="J340" s="54"/>
      <c r="K340" s="54"/>
      <c r="L340" s="54"/>
      <c r="M340" s="54"/>
      <c r="O340" s="56"/>
      <c r="P340" s="54"/>
    </row>
    <row r="341" spans="4:16" x14ac:dyDescent="0.2">
      <c r="D341" s="54"/>
      <c r="G341" s="54"/>
      <c r="H341" s="54"/>
      <c r="I341" s="54"/>
      <c r="J341" s="54"/>
      <c r="K341" s="54"/>
      <c r="L341" s="54"/>
      <c r="M341" s="54"/>
      <c r="O341" s="56"/>
      <c r="P341" s="54"/>
    </row>
    <row r="342" spans="4:16" x14ac:dyDescent="0.2">
      <c r="D342" s="54"/>
      <c r="G342" s="54"/>
      <c r="H342" s="54"/>
      <c r="I342" s="54"/>
      <c r="J342" s="54"/>
      <c r="K342" s="54"/>
      <c r="L342" s="54"/>
      <c r="M342" s="54"/>
      <c r="O342" s="56"/>
      <c r="P342" s="54"/>
    </row>
    <row r="343" spans="4:16" x14ac:dyDescent="0.2">
      <c r="D343" s="54"/>
      <c r="G343" s="54"/>
      <c r="H343" s="54"/>
      <c r="I343" s="54"/>
      <c r="J343" s="54"/>
      <c r="K343" s="54"/>
      <c r="L343" s="54"/>
      <c r="M343" s="54"/>
      <c r="O343" s="56"/>
      <c r="P343" s="54"/>
    </row>
    <row r="344" spans="4:16" x14ac:dyDescent="0.2">
      <c r="D344" s="54"/>
      <c r="G344" s="54"/>
      <c r="H344" s="54"/>
      <c r="I344" s="54"/>
      <c r="J344" s="54"/>
      <c r="K344" s="54"/>
      <c r="L344" s="54"/>
      <c r="M344" s="54"/>
      <c r="O344" s="56"/>
      <c r="P344" s="54"/>
    </row>
    <row r="345" spans="4:16" x14ac:dyDescent="0.2">
      <c r="D345" s="54"/>
      <c r="G345" s="54"/>
      <c r="H345" s="54"/>
      <c r="I345" s="54"/>
      <c r="J345" s="54"/>
      <c r="K345" s="54"/>
      <c r="L345" s="54"/>
      <c r="M345" s="54"/>
      <c r="O345" s="56"/>
      <c r="P345" s="54"/>
    </row>
    <row r="346" spans="4:16" x14ac:dyDescent="0.2">
      <c r="D346" s="54"/>
      <c r="G346" s="54"/>
      <c r="H346" s="54"/>
      <c r="I346" s="54"/>
      <c r="J346" s="54"/>
      <c r="K346" s="54"/>
      <c r="L346" s="54"/>
      <c r="M346" s="54"/>
      <c r="O346" s="56"/>
      <c r="P346" s="54"/>
    </row>
    <row r="347" spans="4:16" x14ac:dyDescent="0.2">
      <c r="D347" s="54"/>
      <c r="G347" s="54"/>
      <c r="H347" s="54"/>
      <c r="I347" s="54"/>
      <c r="J347" s="54"/>
      <c r="K347" s="54"/>
      <c r="L347" s="54"/>
      <c r="M347" s="54"/>
      <c r="O347" s="56"/>
      <c r="P347" s="54"/>
    </row>
    <row r="348" spans="4:16" x14ac:dyDescent="0.2">
      <c r="D348" s="54"/>
      <c r="G348" s="54"/>
      <c r="H348" s="54"/>
      <c r="I348" s="54"/>
      <c r="J348" s="54"/>
      <c r="K348" s="54"/>
      <c r="L348" s="54"/>
      <c r="M348" s="54"/>
      <c r="O348" s="56"/>
      <c r="P348" s="54"/>
    </row>
    <row r="349" spans="4:16" x14ac:dyDescent="0.2">
      <c r="D349" s="54"/>
      <c r="G349" s="54"/>
      <c r="H349" s="54"/>
      <c r="I349" s="54"/>
      <c r="J349" s="54"/>
      <c r="K349" s="54"/>
      <c r="L349" s="54"/>
      <c r="M349" s="54"/>
      <c r="O349" s="56"/>
      <c r="P349" s="54"/>
    </row>
    <row r="350" spans="4:16" x14ac:dyDescent="0.2">
      <c r="D350" s="54"/>
      <c r="G350" s="54"/>
      <c r="H350" s="54"/>
      <c r="I350" s="54"/>
      <c r="J350" s="54"/>
      <c r="K350" s="54"/>
      <c r="L350" s="54"/>
      <c r="M350" s="54"/>
      <c r="O350" s="56"/>
      <c r="P350" s="54"/>
    </row>
    <row r="351" spans="4:16" x14ac:dyDescent="0.2">
      <c r="D351" s="54"/>
      <c r="G351" s="54"/>
      <c r="H351" s="54"/>
      <c r="I351" s="54"/>
      <c r="J351" s="54"/>
      <c r="K351" s="54"/>
      <c r="L351" s="54"/>
      <c r="M351" s="54"/>
      <c r="O351" s="56"/>
      <c r="P351" s="54"/>
    </row>
    <row r="352" spans="4:16" x14ac:dyDescent="0.2">
      <c r="D352" s="54"/>
      <c r="G352" s="54"/>
      <c r="H352" s="54"/>
      <c r="I352" s="54"/>
      <c r="J352" s="54"/>
      <c r="K352" s="54"/>
      <c r="L352" s="54"/>
      <c r="M352" s="54"/>
      <c r="O352" s="56"/>
      <c r="P352" s="54"/>
    </row>
    <row r="353" spans="4:16" x14ac:dyDescent="0.2">
      <c r="D353" s="54"/>
      <c r="G353" s="54"/>
      <c r="H353" s="54"/>
      <c r="I353" s="54"/>
      <c r="J353" s="54"/>
      <c r="K353" s="54"/>
      <c r="L353" s="54"/>
      <c r="M353" s="54"/>
      <c r="O353" s="56"/>
      <c r="P353" s="54"/>
    </row>
    <row r="354" spans="4:16" x14ac:dyDescent="0.2">
      <c r="D354" s="54"/>
      <c r="G354" s="54"/>
      <c r="H354" s="54"/>
      <c r="I354" s="54"/>
      <c r="J354" s="54"/>
      <c r="K354" s="54"/>
      <c r="L354" s="54"/>
      <c r="M354" s="54"/>
      <c r="O354" s="56"/>
      <c r="P354" s="54"/>
    </row>
    <row r="355" spans="4:16" x14ac:dyDescent="0.2">
      <c r="D355" s="54"/>
      <c r="G355" s="54"/>
      <c r="H355" s="54"/>
      <c r="I355" s="54"/>
      <c r="J355" s="54"/>
      <c r="K355" s="54"/>
      <c r="L355" s="54"/>
      <c r="M355" s="54"/>
      <c r="O355" s="56"/>
      <c r="P355" s="54"/>
    </row>
    <row r="356" spans="4:16" x14ac:dyDescent="0.2">
      <c r="D356" s="54"/>
      <c r="G356" s="54"/>
      <c r="H356" s="54"/>
      <c r="I356" s="54"/>
      <c r="J356" s="54"/>
      <c r="K356" s="54"/>
      <c r="L356" s="54"/>
      <c r="M356" s="54"/>
      <c r="O356" s="56"/>
      <c r="P356" s="54"/>
    </row>
    <row r="357" spans="4:16" x14ac:dyDescent="0.2">
      <c r="D357" s="54"/>
      <c r="G357" s="54"/>
      <c r="H357" s="54"/>
      <c r="I357" s="54"/>
      <c r="J357" s="54"/>
      <c r="K357" s="54"/>
      <c r="L357" s="54"/>
      <c r="M357" s="54"/>
      <c r="O357" s="56"/>
      <c r="P357" s="54"/>
    </row>
    <row r="358" spans="4:16" x14ac:dyDescent="0.2">
      <c r="D358" s="54"/>
      <c r="G358" s="54"/>
      <c r="H358" s="54"/>
      <c r="I358" s="54"/>
      <c r="J358" s="54"/>
      <c r="K358" s="54"/>
      <c r="L358" s="54"/>
      <c r="M358" s="54"/>
      <c r="O358" s="56"/>
      <c r="P358" s="54"/>
    </row>
    <row r="359" spans="4:16" x14ac:dyDescent="0.2">
      <c r="D359" s="54"/>
      <c r="G359" s="54"/>
      <c r="H359" s="54"/>
      <c r="I359" s="54"/>
      <c r="J359" s="54"/>
      <c r="K359" s="54"/>
      <c r="L359" s="54"/>
      <c r="M359" s="54"/>
      <c r="O359" s="56"/>
      <c r="P359" s="54"/>
    </row>
    <row r="360" spans="4:16" x14ac:dyDescent="0.2">
      <c r="D360" s="54"/>
      <c r="G360" s="54"/>
      <c r="H360" s="54"/>
      <c r="I360" s="54"/>
      <c r="J360" s="54"/>
      <c r="K360" s="54"/>
      <c r="L360" s="54"/>
      <c r="M360" s="54"/>
      <c r="O360" s="56"/>
      <c r="P360" s="54"/>
    </row>
    <row r="361" spans="4:16" x14ac:dyDescent="0.2">
      <c r="D361" s="54"/>
      <c r="G361" s="54"/>
      <c r="H361" s="54"/>
      <c r="I361" s="54"/>
      <c r="J361" s="54"/>
      <c r="K361" s="54"/>
      <c r="L361" s="54"/>
      <c r="M361" s="54"/>
      <c r="O361" s="56"/>
      <c r="P361" s="54"/>
    </row>
    <row r="362" spans="4:16" x14ac:dyDescent="0.2">
      <c r="D362" s="54"/>
      <c r="G362" s="54"/>
      <c r="H362" s="54"/>
      <c r="I362" s="54"/>
      <c r="J362" s="54"/>
      <c r="K362" s="54"/>
      <c r="L362" s="54"/>
      <c r="M362" s="54"/>
      <c r="O362" s="56"/>
      <c r="P362" s="54"/>
    </row>
    <row r="363" spans="4:16" x14ac:dyDescent="0.2">
      <c r="D363" s="54"/>
      <c r="G363" s="54"/>
      <c r="H363" s="54"/>
      <c r="I363" s="54"/>
      <c r="J363" s="54"/>
      <c r="K363" s="54"/>
      <c r="L363" s="54"/>
      <c r="M363" s="54"/>
      <c r="O363" s="56"/>
      <c r="P363" s="54"/>
    </row>
    <row r="364" spans="4:16" x14ac:dyDescent="0.2">
      <c r="D364" s="54"/>
      <c r="G364" s="54"/>
      <c r="H364" s="54"/>
      <c r="I364" s="54"/>
      <c r="J364" s="54"/>
      <c r="K364" s="54"/>
      <c r="L364" s="54"/>
      <c r="M364" s="54"/>
      <c r="O364" s="56"/>
      <c r="P364" s="54"/>
    </row>
    <row r="365" spans="4:16" x14ac:dyDescent="0.2">
      <c r="D365" s="54"/>
      <c r="G365" s="54"/>
      <c r="H365" s="54"/>
      <c r="I365" s="54"/>
      <c r="J365" s="54"/>
      <c r="K365" s="54"/>
      <c r="L365" s="54"/>
      <c r="M365" s="54"/>
      <c r="O365" s="56"/>
      <c r="P365" s="54"/>
    </row>
    <row r="366" spans="4:16" x14ac:dyDescent="0.2">
      <c r="D366" s="54"/>
      <c r="G366" s="54"/>
      <c r="H366" s="54"/>
      <c r="I366" s="54"/>
      <c r="J366" s="54"/>
      <c r="K366" s="54"/>
      <c r="L366" s="54"/>
      <c r="M366" s="54"/>
      <c r="O366" s="56"/>
      <c r="P366" s="54"/>
    </row>
    <row r="367" spans="4:16" x14ac:dyDescent="0.2">
      <c r="D367" s="54"/>
      <c r="G367" s="54"/>
      <c r="H367" s="54"/>
      <c r="I367" s="54"/>
      <c r="J367" s="54"/>
      <c r="K367" s="54"/>
      <c r="L367" s="54"/>
      <c r="M367" s="54"/>
      <c r="O367" s="56"/>
      <c r="P367" s="54"/>
    </row>
    <row r="368" spans="4:16" x14ac:dyDescent="0.2">
      <c r="D368" s="54"/>
      <c r="G368" s="54"/>
      <c r="H368" s="54"/>
      <c r="I368" s="54"/>
      <c r="J368" s="54"/>
      <c r="K368" s="54"/>
      <c r="L368" s="54"/>
      <c r="M368" s="54"/>
      <c r="O368" s="56"/>
      <c r="P368" s="54"/>
    </row>
    <row r="369" spans="4:16" x14ac:dyDescent="0.2">
      <c r="D369" s="54"/>
      <c r="G369" s="54"/>
      <c r="H369" s="54"/>
      <c r="I369" s="54"/>
      <c r="J369" s="54"/>
      <c r="K369" s="54"/>
      <c r="L369" s="54"/>
      <c r="M369" s="54"/>
      <c r="O369" s="56"/>
      <c r="P369" s="54"/>
    </row>
    <row r="370" spans="4:16" x14ac:dyDescent="0.2">
      <c r="D370" s="54"/>
      <c r="G370" s="54"/>
      <c r="H370" s="54"/>
      <c r="I370" s="54"/>
      <c r="J370" s="54"/>
      <c r="K370" s="54"/>
      <c r="L370" s="54"/>
      <c r="M370" s="54"/>
      <c r="O370" s="56"/>
      <c r="P370" s="54"/>
    </row>
    <row r="371" spans="4:16" x14ac:dyDescent="0.2">
      <c r="D371" s="54"/>
      <c r="G371" s="54"/>
      <c r="H371" s="54"/>
      <c r="I371" s="54"/>
      <c r="J371" s="54"/>
      <c r="K371" s="54"/>
      <c r="L371" s="54"/>
      <c r="M371" s="54"/>
      <c r="O371" s="56"/>
      <c r="P371" s="54"/>
    </row>
    <row r="372" spans="4:16" x14ac:dyDescent="0.2">
      <c r="D372" s="54"/>
      <c r="G372" s="54"/>
      <c r="H372" s="54"/>
      <c r="I372" s="54"/>
      <c r="J372" s="54"/>
      <c r="K372" s="54"/>
      <c r="L372" s="54"/>
      <c r="M372" s="54"/>
      <c r="O372" s="56"/>
      <c r="P372" s="54"/>
    </row>
    <row r="373" spans="4:16" x14ac:dyDescent="0.2">
      <c r="D373" s="54"/>
      <c r="G373" s="54"/>
      <c r="H373" s="54"/>
      <c r="I373" s="54"/>
      <c r="J373" s="54"/>
      <c r="K373" s="54"/>
      <c r="L373" s="54"/>
      <c r="M373" s="54"/>
      <c r="O373" s="56"/>
      <c r="P373" s="54"/>
    </row>
    <row r="374" spans="4:16" x14ac:dyDescent="0.2">
      <c r="D374" s="54"/>
      <c r="G374" s="54"/>
      <c r="H374" s="54"/>
      <c r="I374" s="54"/>
      <c r="J374" s="54"/>
      <c r="K374" s="54"/>
      <c r="L374" s="54"/>
      <c r="M374" s="54"/>
      <c r="O374" s="56"/>
      <c r="P374" s="54"/>
    </row>
    <row r="375" spans="4:16" x14ac:dyDescent="0.2">
      <c r="D375" s="54"/>
      <c r="G375" s="54"/>
      <c r="H375" s="54"/>
      <c r="I375" s="54"/>
      <c r="J375" s="54"/>
      <c r="K375" s="54"/>
      <c r="L375" s="54"/>
      <c r="M375" s="54"/>
      <c r="O375" s="56"/>
      <c r="P375" s="54"/>
    </row>
    <row r="376" spans="4:16" x14ac:dyDescent="0.2">
      <c r="D376" s="54"/>
      <c r="G376" s="54"/>
      <c r="H376" s="54"/>
      <c r="I376" s="54"/>
      <c r="J376" s="54"/>
      <c r="K376" s="54"/>
      <c r="L376" s="54"/>
      <c r="M376" s="54"/>
      <c r="O376" s="56"/>
      <c r="P376" s="54"/>
    </row>
    <row r="377" spans="4:16" x14ac:dyDescent="0.2">
      <c r="D377" s="54"/>
      <c r="G377" s="54"/>
      <c r="H377" s="54"/>
      <c r="I377" s="54"/>
      <c r="J377" s="54"/>
      <c r="K377" s="54"/>
      <c r="L377" s="54"/>
      <c r="M377" s="54"/>
      <c r="O377" s="56"/>
      <c r="P377" s="54"/>
    </row>
    <row r="378" spans="4:16" x14ac:dyDescent="0.2">
      <c r="D378" s="54"/>
      <c r="G378" s="54"/>
      <c r="H378" s="54"/>
      <c r="I378" s="54"/>
      <c r="J378" s="54"/>
      <c r="K378" s="54"/>
      <c r="L378" s="54"/>
      <c r="M378" s="54"/>
      <c r="O378" s="56"/>
      <c r="P378" s="54"/>
    </row>
    <row r="379" spans="4:16" x14ac:dyDescent="0.2">
      <c r="D379" s="54"/>
      <c r="G379" s="54"/>
      <c r="H379" s="54"/>
      <c r="I379" s="54"/>
      <c r="J379" s="54"/>
      <c r="K379" s="54"/>
      <c r="L379" s="54"/>
      <c r="M379" s="54"/>
      <c r="O379" s="56"/>
      <c r="P379" s="54"/>
    </row>
    <row r="380" spans="4:16" x14ac:dyDescent="0.2">
      <c r="D380" s="54"/>
      <c r="G380" s="54"/>
      <c r="H380" s="54"/>
      <c r="I380" s="54"/>
      <c r="J380" s="54"/>
      <c r="K380" s="54"/>
      <c r="L380" s="54"/>
      <c r="M380" s="54"/>
      <c r="O380" s="56"/>
      <c r="P380" s="54"/>
    </row>
    <row r="381" spans="4:16" x14ac:dyDescent="0.2">
      <c r="D381" s="54"/>
      <c r="G381" s="54"/>
      <c r="H381" s="54"/>
      <c r="I381" s="54"/>
      <c r="J381" s="54"/>
      <c r="K381" s="54"/>
      <c r="L381" s="54"/>
      <c r="M381" s="54"/>
      <c r="O381" s="56"/>
      <c r="P381" s="54"/>
    </row>
    <row r="382" spans="4:16" x14ac:dyDescent="0.2">
      <c r="D382" s="54"/>
      <c r="G382" s="54"/>
      <c r="H382" s="54"/>
      <c r="I382" s="54"/>
      <c r="J382" s="54"/>
      <c r="K382" s="54"/>
      <c r="L382" s="54"/>
      <c r="M382" s="54"/>
      <c r="O382" s="56"/>
      <c r="P382" s="54"/>
    </row>
    <row r="383" spans="4:16" x14ac:dyDescent="0.2">
      <c r="D383" s="54"/>
      <c r="G383" s="54"/>
      <c r="H383" s="54"/>
      <c r="I383" s="54"/>
      <c r="J383" s="54"/>
      <c r="K383" s="54"/>
      <c r="L383" s="54"/>
      <c r="M383" s="54"/>
      <c r="O383" s="56"/>
      <c r="P383" s="54"/>
    </row>
    <row r="384" spans="4:16" x14ac:dyDescent="0.2">
      <c r="D384" s="54"/>
      <c r="G384" s="54"/>
      <c r="H384" s="54"/>
      <c r="I384" s="54"/>
      <c r="J384" s="54"/>
      <c r="K384" s="54"/>
      <c r="L384" s="54"/>
      <c r="M384" s="54"/>
      <c r="O384" s="56"/>
      <c r="P384" s="54"/>
    </row>
    <row r="385" spans="4:16" x14ac:dyDescent="0.2">
      <c r="D385" s="54"/>
      <c r="G385" s="54"/>
      <c r="H385" s="54"/>
      <c r="I385" s="54"/>
      <c r="J385" s="54"/>
      <c r="K385" s="54"/>
      <c r="L385" s="54"/>
      <c r="M385" s="54"/>
      <c r="O385" s="56"/>
      <c r="P385" s="54"/>
    </row>
    <row r="386" spans="4:16" x14ac:dyDescent="0.2">
      <c r="D386" s="54"/>
      <c r="G386" s="54"/>
      <c r="H386" s="54"/>
      <c r="I386" s="54"/>
      <c r="J386" s="54"/>
      <c r="K386" s="54"/>
      <c r="L386" s="54"/>
      <c r="M386" s="54"/>
      <c r="O386" s="56"/>
      <c r="P386" s="54"/>
    </row>
    <row r="387" spans="4:16" x14ac:dyDescent="0.2">
      <c r="D387" s="54"/>
      <c r="G387" s="54"/>
      <c r="H387" s="54"/>
      <c r="I387" s="54"/>
      <c r="J387" s="54"/>
      <c r="K387" s="54"/>
      <c r="L387" s="54"/>
      <c r="M387" s="54"/>
      <c r="O387" s="56"/>
      <c r="P387" s="54"/>
    </row>
    <row r="388" spans="4:16" x14ac:dyDescent="0.2">
      <c r="D388" s="54"/>
      <c r="G388" s="54"/>
      <c r="H388" s="54"/>
      <c r="I388" s="54"/>
      <c r="J388" s="54"/>
      <c r="K388" s="54"/>
      <c r="L388" s="54"/>
      <c r="M388" s="54"/>
      <c r="O388" s="56"/>
      <c r="P388" s="54"/>
    </row>
    <row r="389" spans="4:16" x14ac:dyDescent="0.2">
      <c r="D389" s="54"/>
      <c r="G389" s="54"/>
      <c r="H389" s="54"/>
      <c r="I389" s="54"/>
      <c r="J389" s="54"/>
      <c r="K389" s="54"/>
      <c r="L389" s="54"/>
      <c r="M389" s="54"/>
      <c r="O389" s="56"/>
      <c r="P389" s="54"/>
    </row>
    <row r="390" spans="4:16" x14ac:dyDescent="0.2">
      <c r="D390" s="54"/>
      <c r="G390" s="54"/>
      <c r="H390" s="54"/>
      <c r="I390" s="54"/>
      <c r="J390" s="54"/>
      <c r="K390" s="54"/>
      <c r="L390" s="54"/>
      <c r="M390" s="54"/>
      <c r="O390" s="56"/>
      <c r="P390" s="54"/>
    </row>
    <row r="391" spans="4:16" x14ac:dyDescent="0.2">
      <c r="D391" s="54"/>
      <c r="G391" s="54"/>
      <c r="H391" s="54"/>
      <c r="I391" s="54"/>
      <c r="J391" s="54"/>
      <c r="K391" s="54"/>
      <c r="L391" s="54"/>
      <c r="M391" s="54"/>
      <c r="O391" s="56"/>
      <c r="P391" s="54"/>
    </row>
    <row r="392" spans="4:16" x14ac:dyDescent="0.2">
      <c r="D392" s="54"/>
      <c r="G392" s="54"/>
      <c r="H392" s="54"/>
      <c r="I392" s="54"/>
      <c r="J392" s="54"/>
      <c r="K392" s="54"/>
      <c r="L392" s="54"/>
      <c r="M392" s="54"/>
      <c r="O392" s="56"/>
      <c r="P392" s="54"/>
    </row>
    <row r="393" spans="4:16" x14ac:dyDescent="0.2">
      <c r="D393" s="54"/>
      <c r="G393" s="54"/>
      <c r="H393" s="54"/>
      <c r="I393" s="54"/>
      <c r="J393" s="54"/>
      <c r="K393" s="54"/>
      <c r="L393" s="54"/>
      <c r="M393" s="54"/>
      <c r="O393" s="56"/>
      <c r="P393" s="54"/>
    </row>
    <row r="394" spans="4:16" x14ac:dyDescent="0.2">
      <c r="D394" s="54"/>
      <c r="G394" s="54"/>
      <c r="H394" s="54"/>
      <c r="I394" s="54"/>
      <c r="J394" s="54"/>
      <c r="K394" s="54"/>
      <c r="L394" s="54"/>
      <c r="M394" s="54"/>
      <c r="O394" s="56"/>
      <c r="P394" s="54"/>
    </row>
    <row r="395" spans="4:16" x14ac:dyDescent="0.2">
      <c r="D395" s="54"/>
      <c r="G395" s="54"/>
      <c r="H395" s="54"/>
      <c r="I395" s="54"/>
      <c r="J395" s="54"/>
      <c r="K395" s="54"/>
      <c r="L395" s="54"/>
      <c r="M395" s="54"/>
      <c r="O395" s="56"/>
      <c r="P395" s="54"/>
    </row>
    <row r="396" spans="4:16" x14ac:dyDescent="0.2">
      <c r="D396" s="54"/>
      <c r="G396" s="54"/>
      <c r="H396" s="54"/>
      <c r="I396" s="54"/>
      <c r="J396" s="54"/>
      <c r="K396" s="54"/>
      <c r="L396" s="54"/>
      <c r="M396" s="54"/>
      <c r="O396" s="56"/>
      <c r="P396" s="54"/>
    </row>
    <row r="397" spans="4:16" x14ac:dyDescent="0.2">
      <c r="D397" s="54"/>
      <c r="G397" s="54"/>
      <c r="H397" s="54"/>
      <c r="I397" s="54"/>
      <c r="J397" s="54"/>
      <c r="K397" s="54"/>
      <c r="L397" s="54"/>
      <c r="M397" s="54"/>
      <c r="O397" s="56"/>
      <c r="P397" s="54"/>
    </row>
    <row r="398" spans="4:16" x14ac:dyDescent="0.2">
      <c r="D398" s="54"/>
      <c r="G398" s="54"/>
      <c r="H398" s="54"/>
      <c r="I398" s="54"/>
      <c r="J398" s="54"/>
      <c r="K398" s="54"/>
      <c r="L398" s="54"/>
      <c r="M398" s="54"/>
      <c r="O398" s="56"/>
      <c r="P398" s="54"/>
    </row>
    <row r="399" spans="4:16" x14ac:dyDescent="0.2">
      <c r="D399" s="54"/>
      <c r="G399" s="54"/>
      <c r="H399" s="54"/>
      <c r="I399" s="54"/>
      <c r="J399" s="54"/>
      <c r="K399" s="54"/>
      <c r="L399" s="54"/>
      <c r="M399" s="54"/>
      <c r="O399" s="56"/>
      <c r="P399" s="54"/>
    </row>
    <row r="400" spans="4:16" x14ac:dyDescent="0.2">
      <c r="D400" s="54"/>
      <c r="G400" s="54"/>
      <c r="H400" s="54"/>
      <c r="I400" s="54"/>
      <c r="J400" s="54"/>
      <c r="K400" s="54"/>
      <c r="L400" s="54"/>
      <c r="M400" s="54"/>
      <c r="O400" s="56"/>
      <c r="P400" s="54"/>
    </row>
    <row r="401" spans="4:16" x14ac:dyDescent="0.2">
      <c r="D401" s="54"/>
      <c r="G401" s="54"/>
      <c r="H401" s="54"/>
      <c r="I401" s="54"/>
      <c r="J401" s="54"/>
      <c r="K401" s="54"/>
      <c r="L401" s="54"/>
      <c r="M401" s="54"/>
      <c r="O401" s="56"/>
      <c r="P401" s="54"/>
    </row>
    <row r="402" spans="4:16" x14ac:dyDescent="0.2">
      <c r="D402" s="54"/>
      <c r="G402" s="54"/>
      <c r="H402" s="54"/>
      <c r="I402" s="54"/>
      <c r="J402" s="54"/>
      <c r="K402" s="54"/>
      <c r="L402" s="54"/>
      <c r="M402" s="54"/>
      <c r="O402" s="56"/>
      <c r="P402" s="54"/>
    </row>
    <row r="403" spans="4:16" x14ac:dyDescent="0.2">
      <c r="D403" s="54"/>
      <c r="G403" s="54"/>
      <c r="H403" s="54"/>
      <c r="I403" s="54"/>
      <c r="J403" s="54"/>
      <c r="K403" s="54"/>
      <c r="L403" s="54"/>
      <c r="M403" s="54"/>
      <c r="O403" s="56"/>
      <c r="P403" s="54"/>
    </row>
    <row r="404" spans="4:16" x14ac:dyDescent="0.2">
      <c r="D404" s="54"/>
      <c r="G404" s="54"/>
      <c r="H404" s="54"/>
      <c r="I404" s="54"/>
      <c r="J404" s="54"/>
      <c r="K404" s="54"/>
      <c r="L404" s="54"/>
      <c r="M404" s="54"/>
      <c r="O404" s="56"/>
      <c r="P404" s="54"/>
    </row>
    <row r="405" spans="4:16" x14ac:dyDescent="0.2">
      <c r="D405" s="54"/>
      <c r="G405" s="54"/>
      <c r="H405" s="54"/>
      <c r="I405" s="54"/>
      <c r="J405" s="54"/>
      <c r="K405" s="54"/>
      <c r="L405" s="54"/>
      <c r="M405" s="54"/>
      <c r="O405" s="56"/>
      <c r="P405" s="54"/>
    </row>
    <row r="406" spans="4:16" x14ac:dyDescent="0.2">
      <c r="D406" s="54"/>
      <c r="G406" s="54"/>
      <c r="H406" s="54"/>
      <c r="I406" s="54"/>
      <c r="J406" s="54"/>
      <c r="K406" s="54"/>
      <c r="L406" s="54"/>
      <c r="M406" s="54"/>
      <c r="O406" s="56"/>
      <c r="P406" s="54"/>
    </row>
    <row r="407" spans="4:16" x14ac:dyDescent="0.2">
      <c r="D407" s="54"/>
      <c r="G407" s="54"/>
      <c r="H407" s="54"/>
      <c r="I407" s="54"/>
      <c r="J407" s="54"/>
      <c r="K407" s="54"/>
      <c r="L407" s="54"/>
      <c r="M407" s="54"/>
      <c r="O407" s="56"/>
      <c r="P407" s="54"/>
    </row>
    <row r="408" spans="4:16" x14ac:dyDescent="0.2">
      <c r="D408" s="54"/>
      <c r="G408" s="54"/>
      <c r="H408" s="54"/>
      <c r="I408" s="54"/>
      <c r="J408" s="54"/>
      <c r="K408" s="54"/>
      <c r="L408" s="54"/>
      <c r="M408" s="54"/>
      <c r="O408" s="56"/>
      <c r="P408" s="54"/>
    </row>
    <row r="409" spans="4:16" x14ac:dyDescent="0.2">
      <c r="D409" s="54"/>
      <c r="G409" s="54"/>
      <c r="H409" s="54"/>
      <c r="I409" s="54"/>
      <c r="J409" s="54"/>
      <c r="K409" s="54"/>
      <c r="L409" s="54"/>
      <c r="M409" s="54"/>
      <c r="O409" s="56"/>
      <c r="P409" s="54"/>
    </row>
    <row r="410" spans="4:16" x14ac:dyDescent="0.2">
      <c r="D410" s="54"/>
      <c r="G410" s="54"/>
      <c r="H410" s="54"/>
      <c r="I410" s="54"/>
      <c r="J410" s="54"/>
      <c r="K410" s="54"/>
      <c r="L410" s="54"/>
      <c r="M410" s="54"/>
      <c r="O410" s="56"/>
      <c r="P410" s="54"/>
    </row>
    <row r="411" spans="4:16" x14ac:dyDescent="0.2">
      <c r="D411" s="54"/>
      <c r="G411" s="54"/>
      <c r="H411" s="54"/>
      <c r="I411" s="54"/>
      <c r="J411" s="54"/>
      <c r="K411" s="54"/>
      <c r="L411" s="54"/>
      <c r="M411" s="54"/>
      <c r="O411" s="56"/>
      <c r="P411" s="54"/>
    </row>
    <row r="412" spans="4:16" x14ac:dyDescent="0.2">
      <c r="D412" s="54"/>
      <c r="G412" s="54"/>
      <c r="H412" s="54"/>
      <c r="I412" s="54"/>
      <c r="J412" s="54"/>
      <c r="K412" s="54"/>
      <c r="L412" s="54"/>
      <c r="M412" s="54"/>
      <c r="O412" s="56"/>
      <c r="P412" s="54"/>
    </row>
    <row r="413" spans="4:16" x14ac:dyDescent="0.2">
      <c r="D413" s="54"/>
      <c r="G413" s="54"/>
      <c r="H413" s="54"/>
      <c r="I413" s="54"/>
      <c r="J413" s="54"/>
      <c r="K413" s="54"/>
      <c r="L413" s="54"/>
      <c r="M413" s="54"/>
      <c r="O413" s="56"/>
      <c r="P413" s="54"/>
    </row>
    <row r="414" spans="4:16" x14ac:dyDescent="0.2">
      <c r="D414" s="54"/>
      <c r="G414" s="54"/>
      <c r="H414" s="54"/>
      <c r="I414" s="54"/>
      <c r="J414" s="54"/>
      <c r="K414" s="54"/>
      <c r="L414" s="54"/>
      <c r="M414" s="54"/>
      <c r="O414" s="56"/>
      <c r="P414" s="54"/>
    </row>
    <row r="415" spans="4:16" x14ac:dyDescent="0.2">
      <c r="D415" s="54"/>
      <c r="G415" s="54"/>
      <c r="H415" s="54"/>
      <c r="I415" s="54"/>
      <c r="J415" s="54"/>
      <c r="K415" s="54"/>
      <c r="L415" s="54"/>
      <c r="M415" s="54"/>
      <c r="O415" s="56"/>
      <c r="P415" s="54"/>
    </row>
    <row r="416" spans="4:16" x14ac:dyDescent="0.2">
      <c r="D416" s="54"/>
      <c r="G416" s="54"/>
      <c r="H416" s="54"/>
      <c r="I416" s="54"/>
      <c r="J416" s="54"/>
      <c r="K416" s="54"/>
      <c r="L416" s="54"/>
      <c r="M416" s="54"/>
      <c r="O416" s="56"/>
      <c r="P416" s="54"/>
    </row>
    <row r="417" spans="4:16" x14ac:dyDescent="0.2">
      <c r="D417" s="54"/>
      <c r="G417" s="54"/>
      <c r="H417" s="54"/>
      <c r="I417" s="54"/>
      <c r="J417" s="54"/>
      <c r="K417" s="54"/>
      <c r="L417" s="54"/>
      <c r="M417" s="54"/>
      <c r="O417" s="56"/>
      <c r="P417" s="54"/>
    </row>
    <row r="418" spans="4:16" x14ac:dyDescent="0.2">
      <c r="D418" s="54"/>
      <c r="G418" s="54"/>
      <c r="H418" s="54"/>
      <c r="I418" s="54"/>
      <c r="J418" s="54"/>
      <c r="K418" s="54"/>
      <c r="L418" s="54"/>
      <c r="M418" s="54"/>
      <c r="O418" s="56"/>
      <c r="P418" s="54"/>
    </row>
    <row r="419" spans="4:16" x14ac:dyDescent="0.2">
      <c r="D419" s="54"/>
      <c r="G419" s="54"/>
      <c r="H419" s="54"/>
      <c r="I419" s="54"/>
      <c r="J419" s="54"/>
      <c r="K419" s="54"/>
      <c r="L419" s="54"/>
      <c r="M419" s="54"/>
      <c r="O419" s="56"/>
      <c r="P419" s="54"/>
    </row>
    <row r="420" spans="4:16" x14ac:dyDescent="0.2">
      <c r="D420" s="54"/>
      <c r="G420" s="54"/>
      <c r="H420" s="54"/>
      <c r="I420" s="54"/>
      <c r="J420" s="54"/>
      <c r="K420" s="54"/>
      <c r="L420" s="54"/>
      <c r="M420" s="54"/>
      <c r="O420" s="56"/>
      <c r="P420" s="54"/>
    </row>
    <row r="421" spans="4:16" x14ac:dyDescent="0.2">
      <c r="D421" s="54"/>
      <c r="G421" s="54"/>
      <c r="H421" s="54"/>
      <c r="I421" s="54"/>
      <c r="J421" s="54"/>
      <c r="K421" s="54"/>
      <c r="L421" s="54"/>
      <c r="M421" s="54"/>
      <c r="O421" s="56"/>
      <c r="P421" s="54"/>
    </row>
    <row r="422" spans="4:16" x14ac:dyDescent="0.2">
      <c r="D422" s="54"/>
      <c r="G422" s="54"/>
      <c r="H422" s="54"/>
      <c r="I422" s="54"/>
      <c r="J422" s="54"/>
      <c r="K422" s="54"/>
      <c r="L422" s="54"/>
      <c r="M422" s="54"/>
      <c r="O422" s="56"/>
      <c r="P422" s="54"/>
    </row>
    <row r="423" spans="4:16" x14ac:dyDescent="0.2">
      <c r="D423" s="54"/>
      <c r="G423" s="54"/>
      <c r="H423" s="54"/>
      <c r="I423" s="54"/>
      <c r="J423" s="54"/>
      <c r="K423" s="54"/>
      <c r="L423" s="54"/>
      <c r="M423" s="54"/>
      <c r="O423" s="56"/>
      <c r="P423" s="54"/>
    </row>
    <row r="424" spans="4:16" x14ac:dyDescent="0.2">
      <c r="D424" s="54"/>
      <c r="G424" s="54"/>
      <c r="H424" s="54"/>
      <c r="I424" s="54"/>
      <c r="J424" s="54"/>
      <c r="K424" s="54"/>
      <c r="L424" s="54"/>
      <c r="M424" s="54"/>
      <c r="O424" s="56"/>
      <c r="P424" s="54"/>
    </row>
    <row r="425" spans="4:16" x14ac:dyDescent="0.2">
      <c r="D425" s="54"/>
      <c r="G425" s="54"/>
      <c r="H425" s="54"/>
      <c r="I425" s="54"/>
      <c r="J425" s="54"/>
      <c r="K425" s="54"/>
      <c r="L425" s="54"/>
      <c r="M425" s="54"/>
      <c r="O425" s="56"/>
      <c r="P425" s="54"/>
    </row>
    <row r="426" spans="4:16" x14ac:dyDescent="0.2">
      <c r="D426" s="54"/>
      <c r="G426" s="54"/>
      <c r="H426" s="54"/>
      <c r="I426" s="54"/>
      <c r="J426" s="54"/>
      <c r="K426" s="54"/>
      <c r="L426" s="54"/>
      <c r="M426" s="54"/>
      <c r="O426" s="56"/>
      <c r="P426" s="54"/>
    </row>
    <row r="427" spans="4:16" x14ac:dyDescent="0.2">
      <c r="D427" s="54"/>
      <c r="G427" s="54"/>
      <c r="H427" s="54"/>
      <c r="I427" s="54"/>
      <c r="J427" s="54"/>
      <c r="K427" s="54"/>
      <c r="L427" s="54"/>
      <c r="M427" s="54"/>
      <c r="O427" s="56"/>
      <c r="P427" s="54"/>
    </row>
    <row r="428" spans="4:16" x14ac:dyDescent="0.2">
      <c r="D428" s="54"/>
      <c r="G428" s="54"/>
      <c r="H428" s="54"/>
      <c r="I428" s="54"/>
      <c r="J428" s="54"/>
      <c r="K428" s="54"/>
      <c r="L428" s="54"/>
      <c r="M428" s="54"/>
      <c r="O428" s="56"/>
      <c r="P428" s="54"/>
    </row>
    <row r="429" spans="4:16" x14ac:dyDescent="0.2">
      <c r="D429" s="54"/>
      <c r="G429" s="54"/>
      <c r="H429" s="54"/>
      <c r="I429" s="54"/>
      <c r="J429" s="54"/>
      <c r="K429" s="54"/>
      <c r="L429" s="54"/>
      <c r="M429" s="54"/>
      <c r="O429" s="56"/>
      <c r="P429" s="54"/>
    </row>
    <row r="430" spans="4:16" x14ac:dyDescent="0.2">
      <c r="D430" s="54"/>
      <c r="G430" s="54"/>
      <c r="H430" s="54"/>
      <c r="I430" s="54"/>
      <c r="J430" s="54"/>
      <c r="K430" s="54"/>
      <c r="L430" s="54"/>
      <c r="M430" s="54"/>
      <c r="O430" s="56"/>
      <c r="P430" s="54"/>
    </row>
    <row r="431" spans="4:16" x14ac:dyDescent="0.2">
      <c r="D431" s="54"/>
      <c r="G431" s="54"/>
      <c r="H431" s="54"/>
      <c r="I431" s="54"/>
      <c r="J431" s="54"/>
      <c r="K431" s="54"/>
      <c r="L431" s="54"/>
      <c r="M431" s="54"/>
      <c r="O431" s="56"/>
      <c r="P431" s="54"/>
    </row>
    <row r="432" spans="4:16" x14ac:dyDescent="0.2">
      <c r="D432" s="54"/>
      <c r="G432" s="54"/>
      <c r="H432" s="54"/>
      <c r="I432" s="54"/>
      <c r="J432" s="54"/>
      <c r="K432" s="54"/>
      <c r="L432" s="54"/>
      <c r="M432" s="54"/>
      <c r="O432" s="56"/>
      <c r="P432" s="54"/>
    </row>
    <row r="433" spans="4:16" x14ac:dyDescent="0.2">
      <c r="D433" s="54"/>
      <c r="G433" s="54"/>
      <c r="H433" s="54"/>
      <c r="I433" s="54"/>
      <c r="J433" s="54"/>
      <c r="K433" s="54"/>
      <c r="L433" s="54"/>
      <c r="M433" s="54"/>
      <c r="O433" s="56"/>
      <c r="P433" s="54"/>
    </row>
    <row r="434" spans="4:16" x14ac:dyDescent="0.2">
      <c r="D434" s="54"/>
      <c r="G434" s="54"/>
      <c r="H434" s="54"/>
      <c r="I434" s="54"/>
      <c r="J434" s="54"/>
      <c r="K434" s="54"/>
      <c r="L434" s="54"/>
      <c r="M434" s="54"/>
      <c r="O434" s="56"/>
      <c r="P434" s="54"/>
    </row>
    <row r="435" spans="4:16" x14ac:dyDescent="0.2">
      <c r="D435" s="54"/>
      <c r="G435" s="54"/>
      <c r="H435" s="54"/>
      <c r="I435" s="54"/>
      <c r="J435" s="54"/>
      <c r="K435" s="54"/>
      <c r="L435" s="54"/>
      <c r="M435" s="54"/>
      <c r="O435" s="56"/>
      <c r="P435" s="54"/>
    </row>
    <row r="436" spans="4:16" x14ac:dyDescent="0.2">
      <c r="D436" s="54"/>
      <c r="G436" s="54"/>
      <c r="H436" s="54"/>
      <c r="I436" s="54"/>
      <c r="J436" s="54"/>
      <c r="K436" s="54"/>
      <c r="L436" s="54"/>
      <c r="M436" s="54"/>
      <c r="O436" s="56"/>
      <c r="P436" s="54"/>
    </row>
    <row r="437" spans="4:16" x14ac:dyDescent="0.2">
      <c r="D437" s="54"/>
      <c r="G437" s="54"/>
      <c r="H437" s="54"/>
      <c r="I437" s="54"/>
      <c r="J437" s="54"/>
      <c r="K437" s="54"/>
      <c r="L437" s="54"/>
      <c r="M437" s="54"/>
      <c r="O437" s="56"/>
      <c r="P437" s="54"/>
    </row>
    <row r="438" spans="4:16" x14ac:dyDescent="0.2">
      <c r="D438" s="54"/>
      <c r="G438" s="54"/>
      <c r="H438" s="54"/>
      <c r="I438" s="54"/>
      <c r="J438" s="54"/>
      <c r="K438" s="54"/>
      <c r="L438" s="54"/>
      <c r="M438" s="54"/>
      <c r="O438" s="56"/>
      <c r="P438" s="54"/>
    </row>
    <row r="439" spans="4:16" x14ac:dyDescent="0.2">
      <c r="D439" s="54"/>
      <c r="G439" s="54"/>
      <c r="H439" s="54"/>
      <c r="I439" s="54"/>
      <c r="J439" s="54"/>
      <c r="K439" s="54"/>
      <c r="L439" s="54"/>
      <c r="M439" s="54"/>
      <c r="O439" s="56"/>
      <c r="P439" s="54"/>
    </row>
    <row r="440" spans="4:16" x14ac:dyDescent="0.2">
      <c r="D440" s="54"/>
      <c r="G440" s="54"/>
      <c r="H440" s="54"/>
      <c r="I440" s="54"/>
      <c r="J440" s="54"/>
      <c r="K440" s="54"/>
      <c r="L440" s="54"/>
      <c r="M440" s="54"/>
      <c r="O440" s="56"/>
      <c r="P440" s="54"/>
    </row>
    <row r="441" spans="4:16" x14ac:dyDescent="0.2">
      <c r="D441" s="54"/>
      <c r="G441" s="54"/>
      <c r="H441" s="54"/>
      <c r="I441" s="54"/>
      <c r="J441" s="54"/>
      <c r="K441" s="54"/>
      <c r="L441" s="54"/>
      <c r="M441" s="54"/>
      <c r="O441" s="56"/>
      <c r="P441" s="54"/>
    </row>
    <row r="442" spans="4:16" x14ac:dyDescent="0.2">
      <c r="D442" s="54"/>
      <c r="G442" s="54"/>
      <c r="H442" s="54"/>
      <c r="I442" s="54"/>
      <c r="J442" s="54"/>
      <c r="K442" s="54"/>
      <c r="L442" s="54"/>
      <c r="M442" s="54"/>
      <c r="O442" s="56"/>
      <c r="P442" s="54"/>
    </row>
    <row r="443" spans="4:16" x14ac:dyDescent="0.2">
      <c r="D443" s="54"/>
      <c r="G443" s="54"/>
      <c r="H443" s="54"/>
      <c r="I443" s="54"/>
      <c r="J443" s="54"/>
      <c r="K443" s="54"/>
      <c r="L443" s="54"/>
      <c r="M443" s="54"/>
      <c r="O443" s="56"/>
      <c r="P443" s="54"/>
    </row>
    <row r="444" spans="4:16" x14ac:dyDescent="0.2">
      <c r="D444" s="54"/>
      <c r="G444" s="54"/>
      <c r="H444" s="54"/>
      <c r="I444" s="54"/>
      <c r="J444" s="54"/>
      <c r="K444" s="54"/>
      <c r="L444" s="54"/>
      <c r="M444" s="54"/>
      <c r="O444" s="56"/>
      <c r="P444" s="54"/>
    </row>
    <row r="445" spans="4:16" x14ac:dyDescent="0.2">
      <c r="D445" s="54"/>
      <c r="G445" s="54"/>
      <c r="H445" s="54"/>
      <c r="I445" s="54"/>
      <c r="J445" s="54"/>
      <c r="K445" s="54"/>
      <c r="L445" s="54"/>
      <c r="M445" s="54"/>
      <c r="O445" s="56"/>
      <c r="P445" s="54"/>
    </row>
    <row r="446" spans="4:16" x14ac:dyDescent="0.2">
      <c r="D446" s="54"/>
      <c r="G446" s="54"/>
      <c r="H446" s="54"/>
      <c r="I446" s="54"/>
      <c r="J446" s="54"/>
      <c r="K446" s="54"/>
      <c r="L446" s="54"/>
      <c r="M446" s="54"/>
      <c r="O446" s="56"/>
      <c r="P446" s="54"/>
    </row>
    <row r="447" spans="4:16" x14ac:dyDescent="0.2">
      <c r="D447" s="54"/>
      <c r="G447" s="54"/>
      <c r="H447" s="54"/>
      <c r="I447" s="54"/>
      <c r="J447" s="54"/>
      <c r="K447" s="54"/>
      <c r="L447" s="54"/>
      <c r="M447" s="54"/>
      <c r="O447" s="56"/>
      <c r="P447" s="54"/>
    </row>
    <row r="448" spans="4:16" x14ac:dyDescent="0.2">
      <c r="D448" s="54"/>
      <c r="G448" s="54"/>
      <c r="H448" s="54"/>
      <c r="I448" s="54"/>
      <c r="J448" s="54"/>
      <c r="K448" s="54"/>
      <c r="L448" s="54"/>
      <c r="M448" s="54"/>
      <c r="O448" s="56"/>
      <c r="P448" s="54"/>
    </row>
    <row r="449" spans="4:16" x14ac:dyDescent="0.2">
      <c r="D449" s="54"/>
      <c r="G449" s="54"/>
      <c r="H449" s="54"/>
      <c r="I449" s="54"/>
      <c r="J449" s="54"/>
      <c r="K449" s="54"/>
      <c r="L449" s="54"/>
      <c r="M449" s="54"/>
      <c r="O449" s="56"/>
      <c r="P449" s="54"/>
    </row>
    <row r="450" spans="4:16" x14ac:dyDescent="0.2">
      <c r="D450" s="54"/>
      <c r="G450" s="54"/>
      <c r="H450" s="54"/>
      <c r="I450" s="54"/>
      <c r="J450" s="54"/>
      <c r="K450" s="54"/>
      <c r="L450" s="54"/>
      <c r="M450" s="54"/>
      <c r="O450" s="56"/>
      <c r="P450" s="54"/>
    </row>
    <row r="451" spans="4:16" x14ac:dyDescent="0.2">
      <c r="D451" s="54"/>
      <c r="G451" s="54"/>
      <c r="H451" s="54"/>
      <c r="I451" s="54"/>
      <c r="J451" s="54"/>
      <c r="K451" s="54"/>
      <c r="L451" s="54"/>
      <c r="M451" s="54"/>
      <c r="O451" s="56"/>
      <c r="P451" s="54"/>
    </row>
    <row r="452" spans="4:16" x14ac:dyDescent="0.2">
      <c r="D452" s="54"/>
      <c r="G452" s="54"/>
      <c r="H452" s="54"/>
      <c r="I452" s="54"/>
      <c r="J452" s="54"/>
      <c r="K452" s="54"/>
      <c r="L452" s="54"/>
      <c r="M452" s="54"/>
      <c r="O452" s="56"/>
      <c r="P452" s="54"/>
    </row>
    <row r="453" spans="4:16" x14ac:dyDescent="0.2">
      <c r="D453" s="54"/>
      <c r="G453" s="54"/>
      <c r="H453" s="54"/>
      <c r="I453" s="54"/>
      <c r="J453" s="54"/>
      <c r="K453" s="54"/>
      <c r="L453" s="54"/>
      <c r="M453" s="54"/>
      <c r="O453" s="56"/>
      <c r="P453" s="54"/>
    </row>
    <row r="454" spans="4:16" x14ac:dyDescent="0.2">
      <c r="D454" s="54"/>
      <c r="G454" s="54"/>
      <c r="H454" s="54"/>
      <c r="I454" s="54"/>
      <c r="J454" s="54"/>
      <c r="K454" s="54"/>
      <c r="L454" s="54"/>
      <c r="M454" s="54"/>
      <c r="O454" s="56"/>
      <c r="P454" s="54"/>
    </row>
    <row r="455" spans="4:16" x14ac:dyDescent="0.2">
      <c r="D455" s="54"/>
      <c r="G455" s="54"/>
      <c r="H455" s="54"/>
      <c r="I455" s="54"/>
      <c r="J455" s="54"/>
      <c r="K455" s="54"/>
      <c r="L455" s="54"/>
      <c r="M455" s="54"/>
      <c r="O455" s="56"/>
      <c r="P455" s="54"/>
    </row>
    <row r="456" spans="4:16" x14ac:dyDescent="0.2">
      <c r="D456" s="54"/>
      <c r="G456" s="54"/>
      <c r="H456" s="54"/>
      <c r="I456" s="54"/>
      <c r="J456" s="54"/>
      <c r="K456" s="54"/>
      <c r="L456" s="54"/>
      <c r="M456" s="54"/>
      <c r="O456" s="56"/>
      <c r="P456" s="54"/>
    </row>
    <row r="457" spans="4:16" x14ac:dyDescent="0.2">
      <c r="D457" s="54"/>
      <c r="G457" s="54"/>
      <c r="H457" s="54"/>
      <c r="I457" s="54"/>
      <c r="J457" s="54"/>
      <c r="K457" s="54"/>
      <c r="L457" s="54"/>
      <c r="M457" s="54"/>
      <c r="O457" s="56"/>
      <c r="P457" s="54"/>
    </row>
    <row r="458" spans="4:16" x14ac:dyDescent="0.2">
      <c r="D458" s="54"/>
      <c r="G458" s="54"/>
      <c r="H458" s="54"/>
      <c r="I458" s="54"/>
      <c r="J458" s="54"/>
      <c r="K458" s="54"/>
      <c r="L458" s="54"/>
      <c r="M458" s="54"/>
      <c r="O458" s="56"/>
      <c r="P458" s="54"/>
    </row>
    <row r="459" spans="4:16" x14ac:dyDescent="0.2">
      <c r="D459" s="54"/>
      <c r="G459" s="54"/>
      <c r="H459" s="54"/>
      <c r="I459" s="54"/>
      <c r="J459" s="54"/>
      <c r="K459" s="54"/>
      <c r="L459" s="54"/>
      <c r="M459" s="54"/>
      <c r="O459" s="56"/>
      <c r="P459" s="54"/>
    </row>
    <row r="460" spans="4:16" x14ac:dyDescent="0.2">
      <c r="D460" s="54"/>
      <c r="G460" s="54"/>
      <c r="H460" s="54"/>
      <c r="I460" s="54"/>
      <c r="J460" s="54"/>
      <c r="K460" s="54"/>
      <c r="L460" s="54"/>
      <c r="M460" s="54"/>
      <c r="O460" s="56"/>
      <c r="P460" s="54"/>
    </row>
    <row r="461" spans="4:16" x14ac:dyDescent="0.2">
      <c r="D461" s="54"/>
      <c r="G461" s="54"/>
      <c r="H461" s="54"/>
      <c r="I461" s="54"/>
      <c r="J461" s="54"/>
      <c r="K461" s="54"/>
      <c r="L461" s="54"/>
      <c r="M461" s="54"/>
      <c r="O461" s="56"/>
      <c r="P461" s="54"/>
    </row>
    <row r="462" spans="4:16" x14ac:dyDescent="0.2">
      <c r="D462" s="54"/>
      <c r="G462" s="54"/>
      <c r="H462" s="54"/>
      <c r="I462" s="54"/>
      <c r="J462" s="54"/>
      <c r="K462" s="54"/>
      <c r="L462" s="54"/>
      <c r="M462" s="54"/>
      <c r="O462" s="56"/>
      <c r="P462" s="54"/>
    </row>
    <row r="463" spans="4:16" x14ac:dyDescent="0.2">
      <c r="D463" s="54"/>
      <c r="G463" s="54"/>
      <c r="H463" s="54"/>
      <c r="I463" s="54"/>
      <c r="J463" s="54"/>
      <c r="K463" s="54"/>
      <c r="L463" s="54"/>
      <c r="M463" s="54"/>
      <c r="O463" s="56"/>
      <c r="P463" s="54"/>
    </row>
    <row r="464" spans="4:16" x14ac:dyDescent="0.2">
      <c r="D464" s="54"/>
      <c r="G464" s="54"/>
      <c r="H464" s="54"/>
      <c r="I464" s="54"/>
      <c r="J464" s="54"/>
      <c r="K464" s="54"/>
      <c r="L464" s="54"/>
      <c r="M464" s="54"/>
      <c r="O464" s="56"/>
      <c r="P464" s="54"/>
    </row>
    <row r="465" spans="4:16" x14ac:dyDescent="0.2">
      <c r="D465" s="54"/>
      <c r="G465" s="54"/>
      <c r="H465" s="54"/>
      <c r="I465" s="54"/>
      <c r="J465" s="54"/>
      <c r="K465" s="54"/>
      <c r="L465" s="54"/>
      <c r="M465" s="54"/>
      <c r="O465" s="56"/>
      <c r="P465" s="54"/>
    </row>
    <row r="466" spans="4:16" x14ac:dyDescent="0.2">
      <c r="D466" s="54"/>
      <c r="G466" s="54"/>
      <c r="H466" s="54"/>
      <c r="I466" s="54"/>
      <c r="J466" s="54"/>
      <c r="K466" s="54"/>
      <c r="L466" s="54"/>
      <c r="M466" s="54"/>
      <c r="O466" s="56"/>
      <c r="P466" s="54"/>
    </row>
    <row r="467" spans="4:16" x14ac:dyDescent="0.2">
      <c r="D467" s="54"/>
      <c r="G467" s="54"/>
      <c r="H467" s="54"/>
      <c r="I467" s="54"/>
      <c r="J467" s="54"/>
      <c r="K467" s="54"/>
      <c r="L467" s="54"/>
      <c r="M467" s="54"/>
      <c r="O467" s="56"/>
      <c r="P467" s="54"/>
    </row>
    <row r="468" spans="4:16" x14ac:dyDescent="0.2">
      <c r="D468" s="54"/>
      <c r="G468" s="54"/>
      <c r="H468" s="54"/>
      <c r="I468" s="54"/>
      <c r="J468" s="54"/>
      <c r="K468" s="54"/>
      <c r="L468" s="54"/>
      <c r="M468" s="54"/>
      <c r="O468" s="56"/>
      <c r="P468" s="54"/>
    </row>
    <row r="469" spans="4:16" x14ac:dyDescent="0.2">
      <c r="D469" s="54"/>
      <c r="G469" s="54"/>
      <c r="H469" s="54"/>
      <c r="I469" s="54"/>
      <c r="J469" s="54"/>
      <c r="K469" s="54"/>
      <c r="L469" s="54"/>
      <c r="M469" s="54"/>
      <c r="O469" s="56"/>
      <c r="P469" s="54"/>
    </row>
    <row r="470" spans="4:16" x14ac:dyDescent="0.2">
      <c r="D470" s="54"/>
      <c r="G470" s="54"/>
      <c r="H470" s="54"/>
      <c r="I470" s="54"/>
      <c r="J470" s="54"/>
      <c r="K470" s="54"/>
      <c r="L470" s="54"/>
      <c r="M470" s="54"/>
      <c r="O470" s="56"/>
      <c r="P470" s="54"/>
    </row>
    <row r="471" spans="4:16" x14ac:dyDescent="0.2">
      <c r="D471" s="54"/>
      <c r="G471" s="54"/>
      <c r="H471" s="54"/>
      <c r="I471" s="54"/>
      <c r="J471" s="54"/>
      <c r="K471" s="54"/>
      <c r="L471" s="54"/>
      <c r="M471" s="54"/>
      <c r="O471" s="56"/>
      <c r="P471" s="54"/>
    </row>
    <row r="472" spans="4:16" x14ac:dyDescent="0.2">
      <c r="D472" s="54"/>
      <c r="G472" s="54"/>
      <c r="H472" s="54"/>
      <c r="I472" s="54"/>
      <c r="J472" s="54"/>
      <c r="K472" s="54"/>
      <c r="L472" s="54"/>
      <c r="M472" s="54"/>
      <c r="O472" s="56"/>
      <c r="P472" s="54"/>
    </row>
    <row r="473" spans="4:16" x14ac:dyDescent="0.2">
      <c r="D473" s="54"/>
      <c r="G473" s="54"/>
      <c r="H473" s="54"/>
      <c r="I473" s="54"/>
      <c r="J473" s="54"/>
      <c r="K473" s="54"/>
      <c r="L473" s="54"/>
      <c r="M473" s="54"/>
      <c r="O473" s="56"/>
      <c r="P473" s="54"/>
    </row>
    <row r="474" spans="4:16" x14ac:dyDescent="0.2">
      <c r="D474" s="54"/>
      <c r="G474" s="54"/>
      <c r="H474" s="54"/>
      <c r="I474" s="54"/>
      <c r="J474" s="54"/>
      <c r="K474" s="54"/>
      <c r="L474" s="54"/>
      <c r="M474" s="54"/>
      <c r="O474" s="56"/>
      <c r="P474" s="54"/>
    </row>
    <row r="475" spans="4:16" x14ac:dyDescent="0.2">
      <c r="D475" s="54"/>
      <c r="G475" s="54"/>
      <c r="H475" s="54"/>
      <c r="I475" s="54"/>
      <c r="J475" s="54"/>
      <c r="K475" s="54"/>
      <c r="L475" s="54"/>
      <c r="M475" s="54"/>
      <c r="O475" s="56"/>
      <c r="P475" s="54"/>
    </row>
    <row r="476" spans="4:16" x14ac:dyDescent="0.2">
      <c r="D476" s="54"/>
      <c r="G476" s="54"/>
      <c r="H476" s="54"/>
      <c r="I476" s="54"/>
      <c r="J476" s="54"/>
      <c r="K476" s="54"/>
      <c r="L476" s="54"/>
      <c r="M476" s="54"/>
      <c r="O476" s="56"/>
      <c r="P476" s="54"/>
    </row>
    <row r="477" spans="4:16" x14ac:dyDescent="0.2">
      <c r="D477" s="54"/>
      <c r="G477" s="54"/>
      <c r="H477" s="54"/>
      <c r="I477" s="54"/>
      <c r="J477" s="54"/>
      <c r="K477" s="54"/>
      <c r="L477" s="54"/>
      <c r="M477" s="54"/>
      <c r="O477" s="56"/>
      <c r="P477" s="54"/>
    </row>
    <row r="478" spans="4:16" x14ac:dyDescent="0.2">
      <c r="D478" s="54"/>
      <c r="G478" s="54"/>
      <c r="H478" s="54"/>
      <c r="I478" s="54"/>
      <c r="J478" s="54"/>
      <c r="K478" s="54"/>
      <c r="L478" s="54"/>
      <c r="M478" s="54"/>
      <c r="O478" s="56"/>
      <c r="P478" s="54"/>
    </row>
    <row r="479" spans="4:16" x14ac:dyDescent="0.2">
      <c r="D479" s="54"/>
      <c r="G479" s="54"/>
      <c r="H479" s="54"/>
      <c r="I479" s="54"/>
      <c r="J479" s="54"/>
      <c r="K479" s="54"/>
      <c r="L479" s="54"/>
      <c r="M479" s="54"/>
      <c r="O479" s="56"/>
      <c r="P479" s="54"/>
    </row>
    <row r="480" spans="4:16" x14ac:dyDescent="0.2">
      <c r="D480" s="54"/>
      <c r="G480" s="54"/>
      <c r="H480" s="54"/>
      <c r="I480" s="54"/>
      <c r="J480" s="54"/>
      <c r="K480" s="54"/>
      <c r="L480" s="54"/>
      <c r="M480" s="54"/>
      <c r="O480" s="56"/>
      <c r="P480" s="54"/>
    </row>
    <row r="481" spans="4:16" x14ac:dyDescent="0.2">
      <c r="D481" s="54"/>
      <c r="G481" s="54"/>
      <c r="H481" s="54"/>
      <c r="I481" s="54"/>
      <c r="J481" s="54"/>
      <c r="K481" s="54"/>
      <c r="L481" s="54"/>
      <c r="M481" s="54"/>
      <c r="O481" s="56"/>
      <c r="P481" s="54"/>
    </row>
    <row r="482" spans="4:16" x14ac:dyDescent="0.2">
      <c r="D482" s="54"/>
      <c r="G482" s="54"/>
      <c r="H482" s="54"/>
      <c r="I482" s="54"/>
      <c r="J482" s="54"/>
      <c r="K482" s="54"/>
      <c r="L482" s="54"/>
      <c r="M482" s="54"/>
      <c r="O482" s="56"/>
      <c r="P482" s="54"/>
    </row>
    <row r="483" spans="4:16" x14ac:dyDescent="0.2">
      <c r="D483" s="54"/>
      <c r="G483" s="54"/>
      <c r="H483" s="54"/>
      <c r="I483" s="54"/>
      <c r="J483" s="54"/>
      <c r="K483" s="54"/>
      <c r="L483" s="54"/>
      <c r="M483" s="54"/>
      <c r="O483" s="56"/>
      <c r="P483" s="54"/>
    </row>
    <row r="484" spans="4:16" x14ac:dyDescent="0.2">
      <c r="D484" s="54"/>
      <c r="G484" s="54"/>
      <c r="H484" s="54"/>
      <c r="I484" s="54"/>
      <c r="J484" s="54"/>
      <c r="K484" s="54"/>
      <c r="L484" s="54"/>
      <c r="M484" s="54"/>
      <c r="O484" s="56"/>
      <c r="P484" s="54"/>
    </row>
    <row r="485" spans="4:16" x14ac:dyDescent="0.2">
      <c r="D485" s="54"/>
      <c r="G485" s="54"/>
      <c r="H485" s="54"/>
      <c r="I485" s="54"/>
      <c r="J485" s="54"/>
      <c r="K485" s="54"/>
      <c r="L485" s="54"/>
      <c r="M485" s="54"/>
      <c r="O485" s="56"/>
      <c r="P485" s="54"/>
    </row>
    <row r="486" spans="4:16" x14ac:dyDescent="0.2">
      <c r="D486" s="54"/>
      <c r="G486" s="54"/>
      <c r="H486" s="54"/>
      <c r="I486" s="54"/>
      <c r="J486" s="54"/>
      <c r="K486" s="54"/>
      <c r="L486" s="54"/>
      <c r="M486" s="54"/>
      <c r="O486" s="56"/>
      <c r="P486" s="54"/>
    </row>
    <row r="487" spans="4:16" x14ac:dyDescent="0.2">
      <c r="D487" s="54"/>
      <c r="G487" s="54"/>
      <c r="H487" s="54"/>
      <c r="I487" s="54"/>
      <c r="J487" s="54"/>
      <c r="K487" s="54"/>
      <c r="L487" s="54"/>
      <c r="M487" s="54"/>
      <c r="O487" s="56"/>
      <c r="P487" s="54"/>
    </row>
    <row r="488" spans="4:16" x14ac:dyDescent="0.2">
      <c r="D488" s="54"/>
      <c r="G488" s="54"/>
      <c r="H488" s="54"/>
      <c r="I488" s="54"/>
      <c r="J488" s="54"/>
      <c r="K488" s="54"/>
      <c r="L488" s="54"/>
      <c r="M488" s="54"/>
      <c r="O488" s="56"/>
      <c r="P488" s="54"/>
    </row>
    <row r="489" spans="4:16" x14ac:dyDescent="0.2">
      <c r="D489" s="54"/>
      <c r="G489" s="54"/>
      <c r="H489" s="54"/>
      <c r="I489" s="54"/>
      <c r="J489" s="54"/>
      <c r="K489" s="54"/>
      <c r="L489" s="54"/>
      <c r="M489" s="54"/>
      <c r="O489" s="56"/>
      <c r="P489" s="54"/>
    </row>
    <row r="490" spans="4:16" x14ac:dyDescent="0.2">
      <c r="D490" s="54"/>
      <c r="G490" s="54"/>
      <c r="H490" s="54"/>
      <c r="I490" s="54"/>
      <c r="J490" s="54"/>
      <c r="K490" s="54"/>
      <c r="L490" s="54"/>
      <c r="M490" s="54"/>
      <c r="O490" s="56"/>
      <c r="P490" s="54"/>
    </row>
    <row r="491" spans="4:16" x14ac:dyDescent="0.2">
      <c r="D491" s="54"/>
      <c r="G491" s="54"/>
      <c r="H491" s="54"/>
      <c r="I491" s="54"/>
      <c r="J491" s="54"/>
      <c r="K491" s="54"/>
      <c r="L491" s="54"/>
      <c r="M491" s="54"/>
      <c r="O491" s="56"/>
      <c r="P491" s="54"/>
    </row>
    <row r="492" spans="4:16" x14ac:dyDescent="0.2">
      <c r="D492" s="54"/>
      <c r="G492" s="54"/>
      <c r="H492" s="54"/>
      <c r="I492" s="54"/>
      <c r="J492" s="54"/>
      <c r="K492" s="54"/>
      <c r="L492" s="54"/>
      <c r="M492" s="54"/>
      <c r="O492" s="56"/>
      <c r="P492" s="54"/>
    </row>
    <row r="493" spans="4:16" x14ac:dyDescent="0.2">
      <c r="D493" s="54"/>
      <c r="G493" s="54"/>
      <c r="H493" s="54"/>
      <c r="I493" s="54"/>
      <c r="J493" s="54"/>
      <c r="K493" s="54"/>
      <c r="L493" s="54"/>
      <c r="M493" s="54"/>
      <c r="O493" s="56"/>
      <c r="P493" s="54"/>
    </row>
    <row r="494" spans="4:16" x14ac:dyDescent="0.2">
      <c r="D494" s="54"/>
      <c r="G494" s="54"/>
      <c r="H494" s="54"/>
      <c r="I494" s="54"/>
      <c r="J494" s="54"/>
      <c r="K494" s="54"/>
      <c r="L494" s="54"/>
      <c r="M494" s="54"/>
      <c r="O494" s="56"/>
      <c r="P494" s="54"/>
    </row>
    <row r="495" spans="4:16" x14ac:dyDescent="0.2">
      <c r="D495" s="54"/>
      <c r="G495" s="54"/>
      <c r="H495" s="54"/>
      <c r="I495" s="54"/>
      <c r="J495" s="54"/>
      <c r="K495" s="54"/>
      <c r="L495" s="54"/>
      <c r="M495" s="54"/>
      <c r="O495" s="56"/>
      <c r="P495" s="54"/>
    </row>
    <row r="496" spans="4:16" x14ac:dyDescent="0.2">
      <c r="D496" s="54"/>
      <c r="G496" s="54"/>
      <c r="H496" s="54"/>
      <c r="I496" s="54"/>
      <c r="J496" s="54"/>
      <c r="K496" s="54"/>
      <c r="L496" s="54"/>
      <c r="M496" s="54"/>
      <c r="O496" s="56"/>
      <c r="P496" s="54"/>
    </row>
    <row r="497" spans="4:16" x14ac:dyDescent="0.2">
      <c r="D497" s="54"/>
      <c r="G497" s="54"/>
      <c r="H497" s="54"/>
      <c r="I497" s="54"/>
      <c r="J497" s="54"/>
      <c r="K497" s="54"/>
      <c r="L497" s="54"/>
      <c r="M497" s="54"/>
      <c r="O497" s="56"/>
      <c r="P497" s="54"/>
    </row>
    <row r="498" spans="4:16" x14ac:dyDescent="0.2">
      <c r="D498" s="54"/>
      <c r="G498" s="54"/>
      <c r="H498" s="54"/>
      <c r="I498" s="54"/>
      <c r="J498" s="54"/>
      <c r="K498" s="54"/>
      <c r="L498" s="54"/>
      <c r="M498" s="54"/>
      <c r="O498" s="56"/>
      <c r="P498" s="54"/>
    </row>
    <row r="499" spans="4:16" x14ac:dyDescent="0.2">
      <c r="D499" s="54"/>
      <c r="G499" s="54"/>
      <c r="H499" s="54"/>
      <c r="I499" s="54"/>
      <c r="J499" s="54"/>
      <c r="K499" s="54"/>
      <c r="L499" s="54"/>
      <c r="M499" s="54"/>
      <c r="O499" s="56"/>
      <c r="P499" s="54"/>
    </row>
    <row r="500" spans="4:16" x14ac:dyDescent="0.2">
      <c r="D500" s="54"/>
      <c r="G500" s="54"/>
      <c r="H500" s="54"/>
      <c r="I500" s="54"/>
      <c r="J500" s="54"/>
      <c r="K500" s="54"/>
      <c r="L500" s="54"/>
      <c r="M500" s="54"/>
      <c r="O500" s="56"/>
      <c r="P500" s="54"/>
    </row>
    <row r="501" spans="4:16" x14ac:dyDescent="0.2">
      <c r="D501" s="54"/>
      <c r="G501" s="54"/>
      <c r="H501" s="54"/>
      <c r="I501" s="54"/>
      <c r="J501" s="54"/>
      <c r="K501" s="54"/>
      <c r="L501" s="54"/>
      <c r="M501" s="54"/>
      <c r="O501" s="56"/>
      <c r="P501" s="54"/>
    </row>
    <row r="502" spans="4:16" x14ac:dyDescent="0.2">
      <c r="D502" s="54"/>
      <c r="G502" s="54"/>
      <c r="H502" s="54"/>
      <c r="I502" s="54"/>
      <c r="J502" s="54"/>
      <c r="K502" s="54"/>
      <c r="L502" s="54"/>
      <c r="M502" s="54"/>
      <c r="O502" s="56"/>
      <c r="P502" s="54"/>
    </row>
    <row r="503" spans="4:16" x14ac:dyDescent="0.2">
      <c r="D503" s="54"/>
      <c r="G503" s="54"/>
      <c r="H503" s="54"/>
      <c r="I503" s="54"/>
      <c r="J503" s="54"/>
      <c r="K503" s="54"/>
      <c r="L503" s="54"/>
      <c r="M503" s="54"/>
      <c r="O503" s="56"/>
      <c r="P503" s="54"/>
    </row>
    <row r="504" spans="4:16" x14ac:dyDescent="0.2">
      <c r="D504" s="54"/>
      <c r="G504" s="54"/>
      <c r="H504" s="54"/>
      <c r="I504" s="54"/>
      <c r="J504" s="54"/>
      <c r="K504" s="54"/>
      <c r="L504" s="54"/>
      <c r="M504" s="54"/>
      <c r="O504" s="56"/>
      <c r="P504" s="54"/>
    </row>
    <row r="505" spans="4:16" x14ac:dyDescent="0.2">
      <c r="D505" s="54"/>
      <c r="G505" s="54"/>
      <c r="H505" s="54"/>
      <c r="I505" s="54"/>
      <c r="J505" s="54"/>
      <c r="K505" s="54"/>
      <c r="L505" s="54"/>
      <c r="M505" s="54"/>
      <c r="O505" s="56"/>
      <c r="P505" s="54"/>
    </row>
    <row r="506" spans="4:16" x14ac:dyDescent="0.2">
      <c r="D506" s="54"/>
      <c r="G506" s="54"/>
      <c r="H506" s="54"/>
      <c r="I506" s="54"/>
      <c r="J506" s="54"/>
      <c r="K506" s="54"/>
      <c r="L506" s="54"/>
      <c r="M506" s="54"/>
      <c r="O506" s="56"/>
      <c r="P506" s="54"/>
    </row>
    <row r="507" spans="4:16" x14ac:dyDescent="0.2">
      <c r="D507" s="54"/>
      <c r="G507" s="54"/>
      <c r="H507" s="54"/>
      <c r="I507" s="54"/>
      <c r="J507" s="54"/>
      <c r="K507" s="54"/>
      <c r="L507" s="54"/>
      <c r="M507" s="54"/>
      <c r="O507" s="56"/>
      <c r="P507" s="54"/>
    </row>
    <row r="508" spans="4:16" x14ac:dyDescent="0.2">
      <c r="D508" s="54"/>
      <c r="G508" s="54"/>
      <c r="H508" s="54"/>
      <c r="I508" s="54"/>
      <c r="J508" s="54"/>
      <c r="K508" s="54"/>
      <c r="L508" s="54"/>
      <c r="M508" s="54"/>
      <c r="O508" s="56"/>
      <c r="P508" s="54"/>
    </row>
    <row r="509" spans="4:16" x14ac:dyDescent="0.2">
      <c r="D509" s="54"/>
      <c r="G509" s="54"/>
      <c r="H509" s="54"/>
      <c r="I509" s="54"/>
      <c r="J509" s="54"/>
      <c r="K509" s="54"/>
      <c r="L509" s="54"/>
      <c r="M509" s="54"/>
      <c r="O509" s="56"/>
      <c r="P509" s="54"/>
    </row>
    <row r="510" spans="4:16" x14ac:dyDescent="0.2">
      <c r="D510" s="54"/>
      <c r="G510" s="54"/>
      <c r="H510" s="54"/>
      <c r="I510" s="54"/>
      <c r="J510" s="54"/>
      <c r="K510" s="54"/>
      <c r="L510" s="54"/>
      <c r="M510" s="54"/>
      <c r="O510" s="56"/>
      <c r="P510" s="54"/>
    </row>
    <row r="511" spans="4:16" x14ac:dyDescent="0.2">
      <c r="D511" s="54"/>
      <c r="G511" s="54"/>
      <c r="H511" s="54"/>
      <c r="I511" s="54"/>
      <c r="J511" s="54"/>
      <c r="K511" s="54"/>
      <c r="L511" s="54"/>
      <c r="M511" s="54"/>
      <c r="O511" s="56"/>
      <c r="P511" s="54"/>
    </row>
    <row r="512" spans="4:16" x14ac:dyDescent="0.2">
      <c r="D512" s="54"/>
      <c r="G512" s="54"/>
      <c r="H512" s="54"/>
      <c r="I512" s="54"/>
      <c r="J512" s="54"/>
      <c r="K512" s="54"/>
      <c r="L512" s="54"/>
      <c r="M512" s="54"/>
      <c r="O512" s="56"/>
      <c r="P512" s="54"/>
    </row>
    <row r="513" spans="4:16" x14ac:dyDescent="0.2">
      <c r="D513" s="54"/>
      <c r="G513" s="54"/>
      <c r="H513" s="54"/>
      <c r="I513" s="54"/>
      <c r="J513" s="54"/>
      <c r="K513" s="54"/>
      <c r="L513" s="54"/>
      <c r="M513" s="54"/>
      <c r="O513" s="56"/>
      <c r="P513" s="54"/>
    </row>
    <row r="514" spans="4:16" x14ac:dyDescent="0.2">
      <c r="D514" s="54"/>
      <c r="G514" s="54"/>
      <c r="H514" s="54"/>
      <c r="I514" s="54"/>
      <c r="J514" s="54"/>
      <c r="K514" s="54"/>
      <c r="L514" s="54"/>
      <c r="M514" s="54"/>
      <c r="O514" s="56"/>
      <c r="P514" s="54"/>
    </row>
    <row r="515" spans="4:16" x14ac:dyDescent="0.2">
      <c r="D515" s="54"/>
      <c r="G515" s="54"/>
      <c r="H515" s="54"/>
      <c r="I515" s="54"/>
      <c r="J515" s="54"/>
      <c r="K515" s="54"/>
      <c r="L515" s="54"/>
      <c r="M515" s="54"/>
      <c r="O515" s="56"/>
      <c r="P515" s="54"/>
    </row>
    <row r="516" spans="4:16" x14ac:dyDescent="0.2">
      <c r="D516" s="54"/>
      <c r="G516" s="54"/>
      <c r="H516" s="54"/>
      <c r="I516" s="54"/>
      <c r="J516" s="54"/>
      <c r="K516" s="54"/>
      <c r="L516" s="54"/>
      <c r="M516" s="54"/>
      <c r="O516" s="56"/>
      <c r="P516" s="54"/>
    </row>
    <row r="517" spans="4:16" x14ac:dyDescent="0.2">
      <c r="D517" s="54"/>
      <c r="G517" s="54"/>
      <c r="H517" s="54"/>
      <c r="I517" s="54"/>
      <c r="J517" s="54"/>
      <c r="K517" s="54"/>
      <c r="L517" s="54"/>
      <c r="M517" s="54"/>
      <c r="O517" s="56"/>
      <c r="P517" s="54"/>
    </row>
    <row r="518" spans="4:16" x14ac:dyDescent="0.2">
      <c r="D518" s="54"/>
      <c r="G518" s="54"/>
      <c r="H518" s="54"/>
      <c r="I518" s="54"/>
      <c r="J518" s="54"/>
      <c r="K518" s="54"/>
      <c r="L518" s="54"/>
      <c r="M518" s="54"/>
      <c r="O518" s="56"/>
      <c r="P518" s="54"/>
    </row>
    <row r="519" spans="4:16" x14ac:dyDescent="0.2">
      <c r="D519" s="54"/>
      <c r="G519" s="54"/>
      <c r="H519" s="54"/>
      <c r="I519" s="54"/>
      <c r="J519" s="54"/>
      <c r="K519" s="54"/>
      <c r="L519" s="54"/>
      <c r="M519" s="54"/>
      <c r="O519" s="56"/>
      <c r="P519" s="54"/>
    </row>
    <row r="520" spans="4:16" x14ac:dyDescent="0.2">
      <c r="D520" s="54"/>
      <c r="G520" s="54"/>
      <c r="H520" s="54"/>
      <c r="I520" s="54"/>
      <c r="J520" s="54"/>
      <c r="K520" s="54"/>
      <c r="L520" s="54"/>
      <c r="M520" s="54"/>
      <c r="O520" s="56"/>
      <c r="P520" s="54"/>
    </row>
    <row r="521" spans="4:16" x14ac:dyDescent="0.2">
      <c r="D521" s="54"/>
      <c r="G521" s="54"/>
      <c r="H521" s="54"/>
      <c r="I521" s="54"/>
      <c r="J521" s="54"/>
      <c r="K521" s="54"/>
      <c r="L521" s="54"/>
      <c r="M521" s="54"/>
      <c r="O521" s="56"/>
      <c r="P521" s="54"/>
    </row>
    <row r="522" spans="4:16" x14ac:dyDescent="0.2">
      <c r="D522" s="54"/>
      <c r="G522" s="54"/>
      <c r="H522" s="54"/>
      <c r="I522" s="54"/>
      <c r="J522" s="54"/>
      <c r="K522" s="54"/>
      <c r="L522" s="54"/>
      <c r="M522" s="54"/>
      <c r="O522" s="56"/>
      <c r="P522" s="54"/>
    </row>
    <row r="523" spans="4:16" x14ac:dyDescent="0.2">
      <c r="D523" s="54"/>
      <c r="G523" s="54"/>
      <c r="H523" s="54"/>
      <c r="I523" s="54"/>
      <c r="J523" s="54"/>
      <c r="K523" s="54"/>
      <c r="L523" s="54"/>
      <c r="M523" s="54"/>
      <c r="O523" s="56"/>
      <c r="P523" s="54"/>
    </row>
    <row r="524" spans="4:16" x14ac:dyDescent="0.2">
      <c r="D524" s="54"/>
      <c r="G524" s="54"/>
      <c r="H524" s="54"/>
      <c r="I524" s="54"/>
      <c r="J524" s="54"/>
      <c r="K524" s="54"/>
      <c r="L524" s="54"/>
      <c r="M524" s="54"/>
      <c r="O524" s="56"/>
      <c r="P524" s="54"/>
    </row>
    <row r="525" spans="4:16" x14ac:dyDescent="0.2">
      <c r="D525" s="54"/>
      <c r="G525" s="54"/>
      <c r="H525" s="54"/>
      <c r="I525" s="54"/>
      <c r="J525" s="54"/>
      <c r="K525" s="54"/>
      <c r="L525" s="54"/>
      <c r="M525" s="54"/>
      <c r="O525" s="56"/>
      <c r="P525" s="54"/>
    </row>
    <row r="526" spans="4:16" x14ac:dyDescent="0.2">
      <c r="D526" s="54"/>
      <c r="G526" s="54"/>
      <c r="H526" s="54"/>
      <c r="I526" s="54"/>
      <c r="J526" s="54"/>
      <c r="K526" s="54"/>
      <c r="L526" s="54"/>
      <c r="M526" s="54"/>
      <c r="O526" s="56"/>
      <c r="P526" s="54"/>
    </row>
    <row r="527" spans="4:16" x14ac:dyDescent="0.2">
      <c r="D527" s="54"/>
      <c r="G527" s="54"/>
      <c r="H527" s="54"/>
      <c r="I527" s="54"/>
      <c r="J527" s="54"/>
      <c r="K527" s="54"/>
      <c r="L527" s="54"/>
      <c r="M527" s="54"/>
      <c r="O527" s="56"/>
      <c r="P527" s="54"/>
    </row>
    <row r="528" spans="4:16" x14ac:dyDescent="0.2">
      <c r="D528" s="54"/>
      <c r="G528" s="54"/>
      <c r="H528" s="54"/>
      <c r="I528" s="54"/>
      <c r="J528" s="54"/>
      <c r="K528" s="54"/>
      <c r="L528" s="54"/>
      <c r="M528" s="54"/>
      <c r="O528" s="56"/>
      <c r="P528" s="54"/>
    </row>
    <row r="529" spans="4:16" x14ac:dyDescent="0.2">
      <c r="D529" s="54"/>
      <c r="G529" s="54"/>
      <c r="H529" s="54"/>
      <c r="I529" s="54"/>
      <c r="J529" s="54"/>
      <c r="K529" s="54"/>
      <c r="L529" s="54"/>
      <c r="M529" s="54"/>
      <c r="O529" s="56"/>
      <c r="P529" s="54"/>
    </row>
    <row r="530" spans="4:16" x14ac:dyDescent="0.2">
      <c r="D530" s="54"/>
      <c r="G530" s="54"/>
      <c r="H530" s="54"/>
      <c r="I530" s="54"/>
      <c r="J530" s="54"/>
      <c r="K530" s="54"/>
      <c r="L530" s="54"/>
      <c r="M530" s="54"/>
      <c r="O530" s="56"/>
      <c r="P530" s="54"/>
    </row>
    <row r="531" spans="4:16" x14ac:dyDescent="0.2">
      <c r="D531" s="54"/>
      <c r="G531" s="54"/>
      <c r="H531" s="54"/>
      <c r="I531" s="54"/>
      <c r="J531" s="54"/>
      <c r="K531" s="54"/>
      <c r="L531" s="54"/>
      <c r="M531" s="54"/>
      <c r="O531" s="56"/>
      <c r="P531" s="54"/>
    </row>
    <row r="532" spans="4:16" x14ac:dyDescent="0.2">
      <c r="D532" s="54"/>
      <c r="G532" s="54"/>
      <c r="H532" s="54"/>
      <c r="I532" s="54"/>
      <c r="J532" s="54"/>
      <c r="K532" s="54"/>
      <c r="L532" s="54"/>
      <c r="M532" s="54"/>
      <c r="O532" s="56"/>
      <c r="P532" s="54"/>
    </row>
    <row r="533" spans="4:16" x14ac:dyDescent="0.2">
      <c r="D533" s="54"/>
      <c r="G533" s="54"/>
      <c r="H533" s="54"/>
      <c r="I533" s="54"/>
      <c r="J533" s="54"/>
      <c r="K533" s="54"/>
      <c r="L533" s="54"/>
      <c r="M533" s="54"/>
      <c r="O533" s="56"/>
      <c r="P533" s="54"/>
    </row>
    <row r="534" spans="4:16" x14ac:dyDescent="0.2">
      <c r="D534" s="54"/>
      <c r="G534" s="54"/>
      <c r="H534" s="54"/>
      <c r="I534" s="54"/>
      <c r="J534" s="54"/>
      <c r="K534" s="54"/>
      <c r="L534" s="54"/>
      <c r="M534" s="54"/>
      <c r="O534" s="56"/>
      <c r="P534" s="54"/>
    </row>
    <row r="535" spans="4:16" x14ac:dyDescent="0.2">
      <c r="D535" s="54"/>
      <c r="G535" s="54"/>
      <c r="H535" s="54"/>
      <c r="I535" s="54"/>
      <c r="J535" s="54"/>
      <c r="K535" s="54"/>
      <c r="L535" s="54"/>
      <c r="M535" s="54"/>
      <c r="O535" s="56"/>
      <c r="P535" s="54"/>
    </row>
    <row r="536" spans="4:16" x14ac:dyDescent="0.2">
      <c r="D536" s="54"/>
      <c r="G536" s="54"/>
      <c r="H536" s="54"/>
      <c r="I536" s="54"/>
      <c r="J536" s="54"/>
      <c r="K536" s="54"/>
      <c r="L536" s="54"/>
      <c r="M536" s="54"/>
      <c r="O536" s="56"/>
      <c r="P536" s="54"/>
    </row>
    <row r="537" spans="4:16" x14ac:dyDescent="0.2">
      <c r="D537" s="54"/>
      <c r="G537" s="54"/>
      <c r="H537" s="54"/>
      <c r="I537" s="54"/>
      <c r="J537" s="54"/>
      <c r="K537" s="54"/>
      <c r="L537" s="54"/>
      <c r="M537" s="54"/>
      <c r="O537" s="56"/>
      <c r="P537" s="54"/>
    </row>
    <row r="538" spans="4:16" x14ac:dyDescent="0.2">
      <c r="D538" s="54"/>
      <c r="G538" s="54"/>
      <c r="H538" s="54"/>
      <c r="I538" s="54"/>
      <c r="J538" s="54"/>
      <c r="K538" s="54"/>
      <c r="L538" s="54"/>
      <c r="M538" s="54"/>
      <c r="O538" s="56"/>
      <c r="P538" s="54"/>
    </row>
    <row r="539" spans="4:16" x14ac:dyDescent="0.2">
      <c r="D539" s="54"/>
      <c r="G539" s="54"/>
      <c r="H539" s="54"/>
      <c r="I539" s="54"/>
      <c r="J539" s="54"/>
      <c r="K539" s="54"/>
      <c r="L539" s="54"/>
      <c r="M539" s="54"/>
      <c r="O539" s="56"/>
      <c r="P539" s="54"/>
    </row>
    <row r="540" spans="4:16" x14ac:dyDescent="0.2">
      <c r="D540" s="54"/>
      <c r="G540" s="54"/>
      <c r="H540" s="54"/>
      <c r="I540" s="54"/>
      <c r="J540" s="54"/>
      <c r="K540" s="54"/>
      <c r="L540" s="54"/>
      <c r="M540" s="54"/>
      <c r="O540" s="56"/>
      <c r="P540" s="54"/>
    </row>
    <row r="541" spans="4:16" x14ac:dyDescent="0.2">
      <c r="D541" s="54"/>
      <c r="G541" s="54"/>
      <c r="H541" s="54"/>
      <c r="I541" s="54"/>
      <c r="J541" s="54"/>
      <c r="K541" s="54"/>
      <c r="L541" s="54"/>
      <c r="M541" s="54"/>
      <c r="O541" s="56"/>
      <c r="P541" s="54"/>
    </row>
    <row r="542" spans="4:16" x14ac:dyDescent="0.2">
      <c r="D542" s="54"/>
      <c r="G542" s="54"/>
      <c r="H542" s="54"/>
      <c r="I542" s="54"/>
      <c r="J542" s="54"/>
      <c r="K542" s="54"/>
      <c r="L542" s="54"/>
      <c r="M542" s="54"/>
      <c r="O542" s="56"/>
      <c r="P542" s="54"/>
    </row>
    <row r="543" spans="4:16" x14ac:dyDescent="0.2">
      <c r="D543" s="54"/>
      <c r="G543" s="54"/>
      <c r="H543" s="54"/>
      <c r="I543" s="54"/>
      <c r="J543" s="54"/>
      <c r="K543" s="54"/>
      <c r="L543" s="54"/>
      <c r="M543" s="54"/>
      <c r="O543" s="56"/>
      <c r="P543" s="54"/>
    </row>
    <row r="544" spans="4:16" x14ac:dyDescent="0.2">
      <c r="D544" s="54"/>
      <c r="G544" s="54"/>
      <c r="H544" s="54"/>
      <c r="I544" s="54"/>
      <c r="J544" s="54"/>
      <c r="K544" s="54"/>
      <c r="L544" s="54"/>
      <c r="M544" s="54"/>
      <c r="O544" s="56"/>
      <c r="P544" s="54"/>
    </row>
    <row r="545" spans="4:16" x14ac:dyDescent="0.2">
      <c r="D545" s="54"/>
      <c r="G545" s="54"/>
      <c r="H545" s="54"/>
      <c r="I545" s="54"/>
      <c r="J545" s="54"/>
      <c r="K545" s="54"/>
      <c r="L545" s="54"/>
      <c r="M545" s="54"/>
      <c r="O545" s="56"/>
      <c r="P545" s="54"/>
    </row>
    <row r="546" spans="4:16" x14ac:dyDescent="0.2">
      <c r="D546" s="54"/>
      <c r="G546" s="54"/>
      <c r="H546" s="54"/>
      <c r="I546" s="54"/>
      <c r="J546" s="54"/>
      <c r="K546" s="54"/>
      <c r="L546" s="54"/>
      <c r="M546" s="54"/>
      <c r="O546" s="56"/>
      <c r="P546" s="54"/>
    </row>
    <row r="547" spans="4:16" x14ac:dyDescent="0.2">
      <c r="D547" s="54"/>
      <c r="G547" s="54"/>
      <c r="H547" s="54"/>
      <c r="I547" s="54"/>
      <c r="J547" s="54"/>
      <c r="K547" s="54"/>
      <c r="L547" s="54"/>
      <c r="M547" s="54"/>
      <c r="O547" s="56"/>
      <c r="P547" s="54"/>
    </row>
    <row r="548" spans="4:16" x14ac:dyDescent="0.2">
      <c r="D548" s="54"/>
      <c r="G548" s="54"/>
      <c r="H548" s="54"/>
      <c r="I548" s="54"/>
      <c r="J548" s="54"/>
      <c r="K548" s="54"/>
      <c r="L548" s="54"/>
      <c r="M548" s="54"/>
      <c r="O548" s="56"/>
      <c r="P548" s="54"/>
    </row>
    <row r="549" spans="4:16" x14ac:dyDescent="0.2">
      <c r="D549" s="54"/>
      <c r="G549" s="54"/>
      <c r="H549" s="54"/>
      <c r="I549" s="54"/>
      <c r="J549" s="54"/>
      <c r="K549" s="54"/>
      <c r="L549" s="54"/>
      <c r="M549" s="54"/>
      <c r="O549" s="56"/>
      <c r="P549" s="54"/>
    </row>
    <row r="550" spans="4:16" x14ac:dyDescent="0.2">
      <c r="D550" s="54"/>
      <c r="G550" s="54"/>
      <c r="H550" s="54"/>
      <c r="I550" s="54"/>
      <c r="J550" s="54"/>
      <c r="K550" s="54"/>
      <c r="L550" s="54"/>
      <c r="M550" s="54"/>
      <c r="O550" s="56"/>
      <c r="P550" s="54"/>
    </row>
    <row r="551" spans="4:16" x14ac:dyDescent="0.2">
      <c r="D551" s="54"/>
      <c r="G551" s="54"/>
      <c r="H551" s="54"/>
      <c r="I551" s="54"/>
      <c r="J551" s="54"/>
      <c r="K551" s="54"/>
      <c r="L551" s="54"/>
      <c r="M551" s="54"/>
      <c r="O551" s="56"/>
      <c r="P551" s="54"/>
    </row>
    <row r="552" spans="4:16" x14ac:dyDescent="0.2">
      <c r="D552" s="54"/>
      <c r="G552" s="54"/>
      <c r="H552" s="54"/>
      <c r="I552" s="54"/>
      <c r="J552" s="54"/>
      <c r="K552" s="54"/>
      <c r="L552" s="54"/>
      <c r="M552" s="54"/>
      <c r="O552" s="56"/>
      <c r="P552" s="54"/>
    </row>
    <row r="553" spans="4:16" x14ac:dyDescent="0.2">
      <c r="D553" s="54"/>
      <c r="G553" s="54"/>
      <c r="H553" s="54"/>
      <c r="I553" s="54"/>
      <c r="J553" s="54"/>
      <c r="K553" s="54"/>
      <c r="L553" s="54"/>
      <c r="M553" s="54"/>
      <c r="O553" s="56"/>
      <c r="P553" s="54"/>
    </row>
    <row r="554" spans="4:16" x14ac:dyDescent="0.2">
      <c r="D554" s="54"/>
      <c r="G554" s="54"/>
      <c r="H554" s="54"/>
      <c r="I554" s="54"/>
      <c r="J554" s="54"/>
      <c r="K554" s="54"/>
      <c r="L554" s="54"/>
      <c r="M554" s="54"/>
      <c r="O554" s="56"/>
      <c r="P554" s="54"/>
    </row>
    <row r="555" spans="4:16" x14ac:dyDescent="0.2">
      <c r="D555" s="54"/>
      <c r="G555" s="54"/>
      <c r="H555" s="54"/>
      <c r="I555" s="54"/>
      <c r="J555" s="54"/>
      <c r="K555" s="54"/>
      <c r="L555" s="54"/>
      <c r="M555" s="54"/>
      <c r="O555" s="56"/>
      <c r="P555" s="54"/>
    </row>
    <row r="556" spans="4:16" x14ac:dyDescent="0.2">
      <c r="D556" s="54"/>
      <c r="G556" s="54"/>
      <c r="H556" s="54"/>
      <c r="I556" s="54"/>
      <c r="J556" s="54"/>
      <c r="K556" s="54"/>
      <c r="L556" s="54"/>
      <c r="M556" s="54"/>
      <c r="O556" s="56"/>
      <c r="P556" s="54"/>
    </row>
    <row r="557" spans="4:16" x14ac:dyDescent="0.2">
      <c r="D557" s="54"/>
      <c r="G557" s="54"/>
      <c r="H557" s="54"/>
      <c r="I557" s="54"/>
      <c r="J557" s="54"/>
      <c r="K557" s="54"/>
      <c r="L557" s="54"/>
      <c r="M557" s="54"/>
      <c r="O557" s="56"/>
      <c r="P557" s="54"/>
    </row>
    <row r="558" spans="4:16" x14ac:dyDescent="0.2">
      <c r="D558" s="54"/>
      <c r="G558" s="54"/>
      <c r="H558" s="54"/>
      <c r="I558" s="54"/>
      <c r="J558" s="54"/>
      <c r="K558" s="54"/>
      <c r="L558" s="54"/>
      <c r="M558" s="54"/>
      <c r="O558" s="56"/>
      <c r="P558" s="54"/>
    </row>
    <row r="559" spans="4:16" x14ac:dyDescent="0.2">
      <c r="D559" s="54"/>
      <c r="G559" s="54"/>
      <c r="H559" s="54"/>
      <c r="I559" s="54"/>
      <c r="J559" s="54"/>
      <c r="K559" s="54"/>
      <c r="L559" s="54"/>
      <c r="M559" s="54"/>
      <c r="O559" s="56"/>
      <c r="P559" s="54"/>
    </row>
    <row r="560" spans="4:16" x14ac:dyDescent="0.2">
      <c r="D560" s="54"/>
      <c r="G560" s="54"/>
      <c r="H560" s="54"/>
      <c r="I560" s="54"/>
      <c r="J560" s="54"/>
      <c r="K560" s="54"/>
      <c r="L560" s="54"/>
      <c r="M560" s="54"/>
      <c r="O560" s="56"/>
      <c r="P560" s="54"/>
    </row>
    <row r="561" spans="4:16" x14ac:dyDescent="0.2">
      <c r="D561" s="54"/>
      <c r="G561" s="54"/>
      <c r="H561" s="54"/>
      <c r="I561" s="54"/>
      <c r="J561" s="54"/>
      <c r="K561" s="54"/>
      <c r="L561" s="54"/>
      <c r="M561" s="54"/>
      <c r="O561" s="56"/>
      <c r="P561" s="54"/>
    </row>
    <row r="562" spans="4:16" x14ac:dyDescent="0.2">
      <c r="D562" s="54"/>
      <c r="G562" s="54"/>
      <c r="H562" s="54"/>
      <c r="I562" s="54"/>
      <c r="J562" s="54"/>
      <c r="K562" s="54"/>
      <c r="L562" s="54"/>
      <c r="M562" s="54"/>
      <c r="O562" s="56"/>
      <c r="P562" s="54"/>
    </row>
    <row r="563" spans="4:16" x14ac:dyDescent="0.2">
      <c r="D563" s="54"/>
      <c r="G563" s="54"/>
      <c r="H563" s="54"/>
      <c r="I563" s="54"/>
      <c r="J563" s="54"/>
      <c r="K563" s="54"/>
      <c r="L563" s="54"/>
      <c r="M563" s="54"/>
      <c r="O563" s="56"/>
      <c r="P563" s="54"/>
    </row>
    <row r="564" spans="4:16" x14ac:dyDescent="0.2">
      <c r="D564" s="54"/>
      <c r="G564" s="54"/>
      <c r="H564" s="54"/>
      <c r="I564" s="54"/>
      <c r="J564" s="54"/>
      <c r="K564" s="54"/>
      <c r="L564" s="54"/>
      <c r="M564" s="54"/>
      <c r="O564" s="56"/>
      <c r="P564" s="54"/>
    </row>
    <row r="565" spans="4:16" x14ac:dyDescent="0.2">
      <c r="D565" s="54"/>
      <c r="G565" s="54"/>
      <c r="H565" s="54"/>
      <c r="I565" s="54"/>
      <c r="J565" s="54"/>
      <c r="K565" s="54"/>
      <c r="L565" s="54"/>
      <c r="M565" s="54"/>
      <c r="O565" s="56"/>
      <c r="P565" s="54"/>
    </row>
    <row r="566" spans="4:16" x14ac:dyDescent="0.2">
      <c r="D566" s="54"/>
      <c r="G566" s="54"/>
      <c r="H566" s="54"/>
      <c r="I566" s="54"/>
      <c r="J566" s="54"/>
      <c r="K566" s="54"/>
      <c r="L566" s="54"/>
      <c r="M566" s="54"/>
      <c r="O566" s="56"/>
      <c r="P566" s="54"/>
    </row>
    <row r="567" spans="4:16" x14ac:dyDescent="0.2">
      <c r="D567" s="54"/>
      <c r="G567" s="54"/>
      <c r="H567" s="54"/>
      <c r="I567" s="54"/>
      <c r="J567" s="54"/>
      <c r="K567" s="54"/>
      <c r="L567" s="54"/>
      <c r="M567" s="54"/>
      <c r="O567" s="56"/>
      <c r="P567" s="54"/>
    </row>
    <row r="568" spans="4:16" x14ac:dyDescent="0.2">
      <c r="D568" s="54"/>
      <c r="G568" s="54"/>
      <c r="H568" s="54"/>
      <c r="I568" s="54"/>
      <c r="J568" s="54"/>
      <c r="K568" s="54"/>
      <c r="L568" s="54"/>
      <c r="M568" s="54"/>
      <c r="O568" s="56"/>
      <c r="P568" s="54"/>
    </row>
    <row r="569" spans="4:16" x14ac:dyDescent="0.2">
      <c r="D569" s="54"/>
      <c r="G569" s="54"/>
      <c r="H569" s="54"/>
      <c r="I569" s="54"/>
      <c r="J569" s="54"/>
      <c r="K569" s="54"/>
      <c r="L569" s="54"/>
      <c r="M569" s="54"/>
      <c r="O569" s="56"/>
      <c r="P569" s="54"/>
    </row>
    <row r="570" spans="4:16" x14ac:dyDescent="0.2">
      <c r="D570" s="54"/>
      <c r="G570" s="54"/>
      <c r="H570" s="54"/>
      <c r="I570" s="54"/>
      <c r="J570" s="54"/>
      <c r="K570" s="54"/>
      <c r="L570" s="54"/>
      <c r="M570" s="54"/>
      <c r="O570" s="56"/>
      <c r="P570" s="54"/>
    </row>
    <row r="571" spans="4:16" x14ac:dyDescent="0.2">
      <c r="D571" s="54"/>
      <c r="G571" s="54"/>
      <c r="H571" s="54"/>
      <c r="I571" s="54"/>
      <c r="J571" s="54"/>
      <c r="K571" s="54"/>
      <c r="L571" s="54"/>
      <c r="M571" s="54"/>
      <c r="O571" s="56"/>
      <c r="P571" s="54"/>
    </row>
    <row r="572" spans="4:16" x14ac:dyDescent="0.2">
      <c r="D572" s="54"/>
      <c r="G572" s="54"/>
      <c r="H572" s="54"/>
      <c r="I572" s="54"/>
      <c r="J572" s="54"/>
      <c r="K572" s="54"/>
      <c r="L572" s="54"/>
      <c r="M572" s="54"/>
      <c r="O572" s="56"/>
      <c r="P572" s="54"/>
    </row>
    <row r="573" spans="4:16" x14ac:dyDescent="0.2">
      <c r="D573" s="54"/>
      <c r="G573" s="54"/>
      <c r="H573" s="54"/>
      <c r="I573" s="54"/>
      <c r="J573" s="54"/>
      <c r="K573" s="54"/>
      <c r="L573" s="54"/>
      <c r="M573" s="54"/>
      <c r="O573" s="56"/>
      <c r="P573" s="54"/>
    </row>
    <row r="574" spans="4:16" x14ac:dyDescent="0.2">
      <c r="D574" s="54"/>
      <c r="G574" s="54"/>
      <c r="H574" s="54"/>
      <c r="I574" s="54"/>
      <c r="J574" s="54"/>
      <c r="K574" s="54"/>
      <c r="L574" s="54"/>
      <c r="M574" s="54"/>
      <c r="O574" s="56"/>
      <c r="P574" s="54"/>
    </row>
    <row r="575" spans="4:16" x14ac:dyDescent="0.2">
      <c r="D575" s="54"/>
      <c r="G575" s="54"/>
      <c r="H575" s="54"/>
      <c r="I575" s="54"/>
      <c r="J575" s="54"/>
      <c r="K575" s="54"/>
      <c r="L575" s="54"/>
      <c r="M575" s="54"/>
      <c r="O575" s="56"/>
      <c r="P575" s="54"/>
    </row>
    <row r="576" spans="4:16" x14ac:dyDescent="0.2">
      <c r="D576" s="54"/>
      <c r="G576" s="54"/>
      <c r="H576" s="54"/>
      <c r="I576" s="54"/>
      <c r="J576" s="54"/>
      <c r="K576" s="54"/>
      <c r="L576" s="54"/>
      <c r="M576" s="54"/>
      <c r="O576" s="56"/>
      <c r="P576" s="54"/>
    </row>
    <row r="577" spans="4:16" x14ac:dyDescent="0.2">
      <c r="D577" s="54"/>
      <c r="G577" s="54"/>
      <c r="H577" s="54"/>
      <c r="I577" s="54"/>
      <c r="J577" s="54"/>
      <c r="K577" s="54"/>
      <c r="L577" s="54"/>
      <c r="M577" s="54"/>
      <c r="O577" s="56"/>
      <c r="P577" s="54"/>
    </row>
    <row r="578" spans="4:16" x14ac:dyDescent="0.2">
      <c r="D578" s="54"/>
      <c r="G578" s="54"/>
      <c r="H578" s="54"/>
      <c r="I578" s="54"/>
      <c r="J578" s="54"/>
      <c r="K578" s="54"/>
      <c r="L578" s="54"/>
      <c r="M578" s="54"/>
      <c r="O578" s="56"/>
      <c r="P578" s="54"/>
    </row>
    <row r="579" spans="4:16" x14ac:dyDescent="0.2">
      <c r="D579" s="54"/>
      <c r="G579" s="54"/>
      <c r="H579" s="54"/>
      <c r="I579" s="54"/>
      <c r="J579" s="54"/>
      <c r="K579" s="54"/>
      <c r="L579" s="54"/>
      <c r="M579" s="54"/>
      <c r="O579" s="56"/>
      <c r="P579" s="54"/>
    </row>
    <row r="580" spans="4:16" x14ac:dyDescent="0.2">
      <c r="D580" s="54"/>
      <c r="G580" s="54"/>
      <c r="H580" s="54"/>
      <c r="I580" s="54"/>
      <c r="J580" s="54"/>
      <c r="K580" s="54"/>
      <c r="L580" s="54"/>
      <c r="M580" s="54"/>
      <c r="O580" s="56"/>
      <c r="P580" s="54"/>
    </row>
    <row r="581" spans="4:16" x14ac:dyDescent="0.2">
      <c r="D581" s="54"/>
      <c r="G581" s="54"/>
      <c r="H581" s="54"/>
      <c r="I581" s="54"/>
      <c r="J581" s="54"/>
      <c r="K581" s="54"/>
      <c r="L581" s="54"/>
      <c r="M581" s="54"/>
      <c r="O581" s="56"/>
      <c r="P581" s="54"/>
    </row>
    <row r="582" spans="4:16" x14ac:dyDescent="0.2">
      <c r="D582" s="54"/>
      <c r="G582" s="54"/>
      <c r="H582" s="54"/>
      <c r="I582" s="54"/>
      <c r="J582" s="54"/>
      <c r="K582" s="54"/>
      <c r="L582" s="54"/>
      <c r="M582" s="54"/>
      <c r="O582" s="56"/>
      <c r="P582" s="54"/>
    </row>
    <row r="583" spans="4:16" x14ac:dyDescent="0.2">
      <c r="D583" s="54"/>
      <c r="G583" s="54"/>
      <c r="H583" s="54"/>
      <c r="I583" s="54"/>
      <c r="J583" s="54"/>
      <c r="K583" s="54"/>
      <c r="L583" s="54"/>
      <c r="M583" s="54"/>
      <c r="O583" s="56"/>
      <c r="P583" s="54"/>
    </row>
    <row r="584" spans="4:16" x14ac:dyDescent="0.2">
      <c r="D584" s="54"/>
      <c r="G584" s="54"/>
      <c r="H584" s="54"/>
      <c r="I584" s="54"/>
      <c r="J584" s="54"/>
      <c r="K584" s="54"/>
      <c r="L584" s="54"/>
      <c r="M584" s="54"/>
      <c r="O584" s="56"/>
      <c r="P584" s="54"/>
    </row>
    <row r="585" spans="4:16" x14ac:dyDescent="0.2">
      <c r="D585" s="54"/>
      <c r="G585" s="54"/>
      <c r="H585" s="54"/>
      <c r="I585" s="54"/>
      <c r="J585" s="54"/>
      <c r="K585" s="54"/>
      <c r="L585" s="54"/>
      <c r="M585" s="54"/>
      <c r="O585" s="56"/>
      <c r="P585" s="54"/>
    </row>
    <row r="586" spans="4:16" x14ac:dyDescent="0.2">
      <c r="D586" s="54"/>
      <c r="G586" s="54"/>
      <c r="H586" s="54"/>
      <c r="I586" s="54"/>
      <c r="J586" s="54"/>
      <c r="K586" s="54"/>
      <c r="L586" s="54"/>
      <c r="M586" s="54"/>
      <c r="O586" s="56"/>
      <c r="P586" s="54"/>
    </row>
    <row r="587" spans="4:16" x14ac:dyDescent="0.2">
      <c r="D587" s="54"/>
      <c r="G587" s="54"/>
      <c r="H587" s="54"/>
      <c r="I587" s="54"/>
      <c r="J587" s="54"/>
      <c r="K587" s="54"/>
      <c r="L587" s="54"/>
      <c r="M587" s="54"/>
      <c r="O587" s="56"/>
      <c r="P587" s="54"/>
    </row>
    <row r="588" spans="4:16" x14ac:dyDescent="0.2">
      <c r="D588" s="54"/>
      <c r="G588" s="54"/>
      <c r="H588" s="54"/>
      <c r="I588" s="54"/>
      <c r="J588" s="54"/>
      <c r="K588" s="54"/>
      <c r="L588" s="54"/>
      <c r="M588" s="54"/>
      <c r="O588" s="56"/>
      <c r="P588" s="54"/>
    </row>
    <row r="589" spans="4:16" x14ac:dyDescent="0.2">
      <c r="D589" s="54"/>
      <c r="G589" s="54"/>
      <c r="H589" s="54"/>
      <c r="I589" s="54"/>
      <c r="J589" s="54"/>
      <c r="K589" s="54"/>
      <c r="L589" s="54"/>
      <c r="M589" s="54"/>
      <c r="O589" s="56"/>
      <c r="P589" s="54"/>
    </row>
    <row r="590" spans="4:16" x14ac:dyDescent="0.2">
      <c r="D590" s="54"/>
      <c r="G590" s="54"/>
      <c r="H590" s="54"/>
      <c r="I590" s="54"/>
      <c r="J590" s="54"/>
      <c r="K590" s="54"/>
      <c r="L590" s="54"/>
      <c r="M590" s="54"/>
      <c r="O590" s="56"/>
      <c r="P590" s="54"/>
    </row>
    <row r="591" spans="4:16" x14ac:dyDescent="0.2">
      <c r="D591" s="54"/>
      <c r="G591" s="54"/>
      <c r="H591" s="54"/>
      <c r="I591" s="54"/>
      <c r="J591" s="54"/>
      <c r="K591" s="54"/>
      <c r="L591" s="54"/>
      <c r="M591" s="54"/>
      <c r="O591" s="56"/>
      <c r="P591" s="54"/>
    </row>
    <row r="592" spans="4:16" x14ac:dyDescent="0.2">
      <c r="D592" s="54"/>
      <c r="G592" s="54"/>
      <c r="H592" s="54"/>
      <c r="I592" s="54"/>
      <c r="J592" s="54"/>
      <c r="K592" s="54"/>
      <c r="L592" s="54"/>
      <c r="M592" s="54"/>
      <c r="O592" s="56"/>
      <c r="P592" s="54"/>
    </row>
    <row r="593" spans="4:16" x14ac:dyDescent="0.2">
      <c r="D593" s="54"/>
      <c r="G593" s="54"/>
      <c r="H593" s="54"/>
      <c r="I593" s="54"/>
      <c r="J593" s="54"/>
      <c r="K593" s="54"/>
      <c r="L593" s="54"/>
      <c r="M593" s="54"/>
      <c r="O593" s="56"/>
      <c r="P593" s="54"/>
    </row>
    <row r="594" spans="4:16" x14ac:dyDescent="0.2">
      <c r="D594" s="54"/>
      <c r="G594" s="54"/>
      <c r="H594" s="54"/>
      <c r="I594" s="54"/>
      <c r="J594" s="54"/>
      <c r="K594" s="54"/>
      <c r="L594" s="54"/>
      <c r="M594" s="54"/>
      <c r="O594" s="56"/>
      <c r="P594" s="54"/>
    </row>
    <row r="595" spans="4:16" x14ac:dyDescent="0.2">
      <c r="D595" s="54"/>
      <c r="G595" s="54"/>
      <c r="H595" s="54"/>
      <c r="I595" s="54"/>
      <c r="J595" s="54"/>
      <c r="K595" s="54"/>
      <c r="L595" s="54"/>
      <c r="M595" s="54"/>
      <c r="O595" s="56"/>
      <c r="P595" s="54"/>
    </row>
    <row r="596" spans="4:16" x14ac:dyDescent="0.2">
      <c r="D596" s="54"/>
      <c r="G596" s="54"/>
      <c r="H596" s="54"/>
      <c r="I596" s="54"/>
      <c r="J596" s="54"/>
      <c r="K596" s="54"/>
      <c r="L596" s="54"/>
      <c r="M596" s="54"/>
      <c r="O596" s="56"/>
      <c r="P596" s="54"/>
    </row>
    <row r="597" spans="4:16" x14ac:dyDescent="0.2">
      <c r="D597" s="54"/>
      <c r="G597" s="54"/>
      <c r="H597" s="54"/>
      <c r="I597" s="54"/>
      <c r="J597" s="54"/>
      <c r="K597" s="54"/>
      <c r="L597" s="54"/>
      <c r="M597" s="54"/>
      <c r="O597" s="56"/>
      <c r="P597" s="54"/>
    </row>
    <row r="598" spans="4:16" x14ac:dyDescent="0.2">
      <c r="D598" s="54"/>
      <c r="G598" s="54"/>
      <c r="H598" s="54"/>
      <c r="I598" s="54"/>
      <c r="J598" s="54"/>
      <c r="K598" s="54"/>
      <c r="L598" s="54"/>
      <c r="M598" s="54"/>
      <c r="O598" s="56"/>
      <c r="P598" s="54"/>
    </row>
    <row r="599" spans="4:16" x14ac:dyDescent="0.2">
      <c r="D599" s="54"/>
      <c r="G599" s="54"/>
      <c r="H599" s="54"/>
      <c r="I599" s="54"/>
      <c r="J599" s="54"/>
      <c r="K599" s="54"/>
      <c r="L599" s="54"/>
      <c r="M599" s="54"/>
      <c r="O599" s="56"/>
      <c r="P599" s="54"/>
    </row>
    <row r="600" spans="4:16" x14ac:dyDescent="0.2">
      <c r="D600" s="54"/>
      <c r="G600" s="54"/>
      <c r="H600" s="54"/>
      <c r="I600" s="54"/>
      <c r="J600" s="54"/>
      <c r="K600" s="54"/>
      <c r="L600" s="54"/>
      <c r="M600" s="54"/>
      <c r="O600" s="56"/>
      <c r="P600" s="54"/>
    </row>
    <row r="601" spans="4:16" x14ac:dyDescent="0.2">
      <c r="D601" s="54"/>
      <c r="G601" s="54"/>
      <c r="H601" s="54"/>
      <c r="I601" s="54"/>
      <c r="J601" s="54"/>
      <c r="K601" s="54"/>
      <c r="L601" s="54"/>
      <c r="M601" s="54"/>
      <c r="O601" s="56"/>
      <c r="P601" s="54"/>
    </row>
    <row r="602" spans="4:16" x14ac:dyDescent="0.2">
      <c r="D602" s="54"/>
      <c r="G602" s="54"/>
      <c r="H602" s="54"/>
      <c r="I602" s="54"/>
      <c r="J602" s="54"/>
      <c r="K602" s="54"/>
      <c r="L602" s="54"/>
      <c r="M602" s="54"/>
      <c r="O602" s="56"/>
      <c r="P602" s="54"/>
    </row>
    <row r="603" spans="4:16" x14ac:dyDescent="0.2">
      <c r="D603" s="54"/>
      <c r="G603" s="54"/>
      <c r="H603" s="54"/>
      <c r="I603" s="54"/>
      <c r="J603" s="54"/>
      <c r="K603" s="54"/>
      <c r="L603" s="54"/>
      <c r="M603" s="54"/>
      <c r="O603" s="56"/>
      <c r="P603" s="54"/>
    </row>
    <row r="604" spans="4:16" x14ac:dyDescent="0.2">
      <c r="D604" s="54"/>
      <c r="G604" s="54"/>
      <c r="H604" s="54"/>
      <c r="I604" s="54"/>
      <c r="J604" s="54"/>
      <c r="K604" s="54"/>
      <c r="L604" s="54"/>
      <c r="M604" s="54"/>
      <c r="O604" s="56"/>
      <c r="P604" s="54"/>
    </row>
    <row r="605" spans="4:16" x14ac:dyDescent="0.2">
      <c r="D605" s="54"/>
      <c r="G605" s="54"/>
      <c r="H605" s="54"/>
      <c r="I605" s="54"/>
      <c r="J605" s="54"/>
      <c r="K605" s="54"/>
      <c r="L605" s="54"/>
      <c r="M605" s="54"/>
      <c r="O605" s="56"/>
      <c r="P605" s="54"/>
    </row>
    <row r="606" spans="4:16" x14ac:dyDescent="0.2">
      <c r="D606" s="54"/>
      <c r="G606" s="54"/>
      <c r="H606" s="54"/>
      <c r="I606" s="54"/>
      <c r="J606" s="54"/>
      <c r="K606" s="54"/>
      <c r="L606" s="54"/>
      <c r="M606" s="54"/>
      <c r="O606" s="56"/>
      <c r="P606" s="54"/>
    </row>
    <row r="607" spans="4:16" x14ac:dyDescent="0.2">
      <c r="D607" s="54"/>
      <c r="G607" s="54"/>
      <c r="H607" s="54"/>
      <c r="I607" s="54"/>
      <c r="J607" s="54"/>
      <c r="K607" s="54"/>
      <c r="L607" s="54"/>
      <c r="M607" s="54"/>
      <c r="O607" s="56"/>
      <c r="P607" s="54"/>
    </row>
    <row r="608" spans="4:16" x14ac:dyDescent="0.2">
      <c r="D608" s="54"/>
      <c r="G608" s="54"/>
      <c r="H608" s="54"/>
      <c r="I608" s="54"/>
      <c r="J608" s="54"/>
      <c r="K608" s="54"/>
      <c r="L608" s="54"/>
      <c r="M608" s="54"/>
      <c r="O608" s="56"/>
      <c r="P608" s="54"/>
    </row>
    <row r="609" spans="4:16" x14ac:dyDescent="0.2">
      <c r="D609" s="54"/>
      <c r="G609" s="54"/>
      <c r="H609" s="54"/>
      <c r="I609" s="54"/>
      <c r="J609" s="54"/>
      <c r="K609" s="54"/>
      <c r="L609" s="54"/>
      <c r="M609" s="54"/>
      <c r="O609" s="56"/>
      <c r="P609" s="54"/>
    </row>
    <row r="610" spans="4:16" x14ac:dyDescent="0.2">
      <c r="D610" s="54"/>
      <c r="G610" s="54"/>
      <c r="H610" s="54"/>
      <c r="I610" s="54"/>
      <c r="J610" s="54"/>
      <c r="K610" s="54"/>
      <c r="L610" s="54"/>
      <c r="M610" s="54"/>
      <c r="O610" s="56"/>
      <c r="P610" s="54"/>
    </row>
    <row r="611" spans="4:16" x14ac:dyDescent="0.2">
      <c r="D611" s="54"/>
      <c r="G611" s="54"/>
      <c r="H611" s="54"/>
      <c r="I611" s="54"/>
      <c r="J611" s="54"/>
      <c r="K611" s="54"/>
      <c r="L611" s="54"/>
      <c r="M611" s="54"/>
      <c r="O611" s="56"/>
      <c r="P611" s="54"/>
    </row>
    <row r="612" spans="4:16" x14ac:dyDescent="0.2">
      <c r="D612" s="54"/>
      <c r="G612" s="54"/>
      <c r="H612" s="54"/>
      <c r="I612" s="54"/>
      <c r="J612" s="54"/>
      <c r="K612" s="54"/>
      <c r="L612" s="54"/>
      <c r="M612" s="54"/>
      <c r="O612" s="56"/>
      <c r="P612" s="54"/>
    </row>
    <row r="613" spans="4:16" x14ac:dyDescent="0.2">
      <c r="D613" s="54"/>
      <c r="G613" s="54"/>
      <c r="H613" s="54"/>
      <c r="I613" s="54"/>
      <c r="J613" s="54"/>
      <c r="K613" s="54"/>
      <c r="L613" s="54"/>
      <c r="M613" s="54"/>
      <c r="O613" s="56"/>
      <c r="P613" s="54"/>
    </row>
    <row r="614" spans="4:16" x14ac:dyDescent="0.2">
      <c r="D614" s="54"/>
      <c r="G614" s="54"/>
      <c r="H614" s="54"/>
      <c r="I614" s="54"/>
      <c r="J614" s="54"/>
      <c r="K614" s="54"/>
      <c r="L614" s="54"/>
      <c r="M614" s="54"/>
      <c r="O614" s="56"/>
      <c r="P614" s="54"/>
    </row>
    <row r="615" spans="4:16" x14ac:dyDescent="0.2">
      <c r="D615" s="54"/>
      <c r="G615" s="54"/>
      <c r="H615" s="54"/>
      <c r="I615" s="54"/>
      <c r="J615" s="54"/>
      <c r="K615" s="54"/>
      <c r="L615" s="54"/>
      <c r="M615" s="54"/>
      <c r="O615" s="56"/>
      <c r="P615" s="54"/>
    </row>
    <row r="616" spans="4:16" x14ac:dyDescent="0.2">
      <c r="D616" s="54"/>
      <c r="G616" s="54"/>
      <c r="H616" s="54"/>
      <c r="I616" s="54"/>
      <c r="J616" s="54"/>
      <c r="K616" s="54"/>
      <c r="L616" s="54"/>
      <c r="M616" s="54"/>
      <c r="O616" s="56"/>
      <c r="P616" s="54"/>
    </row>
    <row r="617" spans="4:16" x14ac:dyDescent="0.2">
      <c r="D617" s="54"/>
      <c r="G617" s="54"/>
      <c r="H617" s="54"/>
      <c r="I617" s="54"/>
      <c r="J617" s="54"/>
      <c r="K617" s="54"/>
      <c r="L617" s="54"/>
      <c r="M617" s="54"/>
      <c r="O617" s="56"/>
      <c r="P617" s="54"/>
    </row>
    <row r="618" spans="4:16" x14ac:dyDescent="0.2">
      <c r="D618" s="54"/>
      <c r="G618" s="54"/>
      <c r="H618" s="54"/>
      <c r="I618" s="54"/>
      <c r="J618" s="54"/>
      <c r="K618" s="54"/>
      <c r="L618" s="54"/>
      <c r="M618" s="54"/>
      <c r="O618" s="56"/>
      <c r="P618" s="54"/>
    </row>
    <row r="619" spans="4:16" x14ac:dyDescent="0.2">
      <c r="D619" s="54"/>
      <c r="G619" s="54"/>
      <c r="H619" s="54"/>
      <c r="I619" s="54"/>
      <c r="J619" s="54"/>
      <c r="K619" s="54"/>
      <c r="L619" s="54"/>
      <c r="M619" s="54"/>
      <c r="O619" s="56"/>
      <c r="P619" s="54"/>
    </row>
    <row r="620" spans="4:16" x14ac:dyDescent="0.2">
      <c r="D620" s="54"/>
      <c r="G620" s="54"/>
      <c r="H620" s="54"/>
      <c r="I620" s="54"/>
      <c r="J620" s="54"/>
      <c r="K620" s="54"/>
      <c r="L620" s="54"/>
      <c r="M620" s="54"/>
      <c r="O620" s="56"/>
      <c r="P620" s="54"/>
    </row>
    <row r="621" spans="4:16" x14ac:dyDescent="0.2">
      <c r="D621" s="54"/>
      <c r="G621" s="54"/>
      <c r="H621" s="54"/>
      <c r="I621" s="54"/>
      <c r="J621" s="54"/>
      <c r="K621" s="54"/>
      <c r="L621" s="54"/>
      <c r="M621" s="54"/>
      <c r="O621" s="56"/>
      <c r="P621" s="54"/>
    </row>
    <row r="622" spans="4:16" x14ac:dyDescent="0.2">
      <c r="D622" s="54"/>
      <c r="G622" s="54"/>
      <c r="H622" s="54"/>
      <c r="I622" s="54"/>
      <c r="J622" s="54"/>
      <c r="K622" s="54"/>
      <c r="L622" s="54"/>
      <c r="M622" s="54"/>
      <c r="O622" s="56"/>
      <c r="P622" s="54"/>
    </row>
    <row r="623" spans="4:16" x14ac:dyDescent="0.2">
      <c r="D623" s="54"/>
      <c r="G623" s="54"/>
      <c r="H623" s="54"/>
      <c r="I623" s="54"/>
      <c r="J623" s="54"/>
      <c r="K623" s="54"/>
      <c r="L623" s="54"/>
      <c r="M623" s="54"/>
      <c r="O623" s="56"/>
      <c r="P623" s="54"/>
    </row>
    <row r="624" spans="4:16" x14ac:dyDescent="0.2">
      <c r="D624" s="54"/>
      <c r="G624" s="54"/>
      <c r="H624" s="54"/>
      <c r="I624" s="54"/>
      <c r="J624" s="54"/>
      <c r="K624" s="54"/>
      <c r="L624" s="54"/>
      <c r="M624" s="54"/>
      <c r="O624" s="56"/>
      <c r="P624" s="54"/>
    </row>
    <row r="625" spans="4:16" x14ac:dyDescent="0.2">
      <c r="D625" s="54"/>
      <c r="G625" s="54"/>
      <c r="H625" s="54"/>
      <c r="I625" s="54"/>
      <c r="J625" s="54"/>
      <c r="K625" s="54"/>
      <c r="L625" s="54"/>
      <c r="M625" s="54"/>
      <c r="O625" s="56"/>
      <c r="P625" s="54"/>
    </row>
    <row r="626" spans="4:16" x14ac:dyDescent="0.2">
      <c r="D626" s="54"/>
      <c r="G626" s="54"/>
      <c r="H626" s="54"/>
      <c r="I626" s="54"/>
      <c r="J626" s="54"/>
      <c r="K626" s="54"/>
      <c r="L626" s="54"/>
      <c r="M626" s="54"/>
      <c r="O626" s="56"/>
      <c r="P626" s="54"/>
    </row>
    <row r="627" spans="4:16" x14ac:dyDescent="0.2">
      <c r="D627" s="54"/>
      <c r="G627" s="54"/>
      <c r="H627" s="54"/>
      <c r="I627" s="54"/>
      <c r="J627" s="54"/>
      <c r="K627" s="54"/>
      <c r="L627" s="54"/>
      <c r="M627" s="54"/>
      <c r="O627" s="56"/>
      <c r="P627" s="54"/>
    </row>
    <row r="628" spans="4:16" x14ac:dyDescent="0.2">
      <c r="D628" s="54"/>
      <c r="G628" s="54"/>
      <c r="H628" s="54"/>
      <c r="I628" s="54"/>
      <c r="J628" s="54"/>
      <c r="K628" s="54"/>
      <c r="L628" s="54"/>
      <c r="M628" s="54"/>
      <c r="O628" s="56"/>
      <c r="P628" s="54"/>
    </row>
    <row r="629" spans="4:16" x14ac:dyDescent="0.2">
      <c r="D629" s="54"/>
      <c r="G629" s="54"/>
      <c r="H629" s="54"/>
      <c r="I629" s="54"/>
      <c r="J629" s="54"/>
      <c r="K629" s="54"/>
      <c r="L629" s="54"/>
      <c r="M629" s="54"/>
      <c r="O629" s="56"/>
      <c r="P629" s="54"/>
    </row>
    <row r="630" spans="4:16" x14ac:dyDescent="0.2">
      <c r="D630" s="54"/>
      <c r="G630" s="54"/>
      <c r="H630" s="54"/>
      <c r="I630" s="54"/>
      <c r="J630" s="54"/>
      <c r="K630" s="54"/>
      <c r="L630" s="54"/>
      <c r="M630" s="54"/>
      <c r="O630" s="56"/>
      <c r="P630" s="54"/>
    </row>
    <row r="631" spans="4:16" x14ac:dyDescent="0.2">
      <c r="D631" s="54"/>
      <c r="G631" s="54"/>
      <c r="H631" s="54"/>
      <c r="I631" s="54"/>
      <c r="J631" s="54"/>
      <c r="K631" s="54"/>
      <c r="L631" s="54"/>
      <c r="M631" s="54"/>
      <c r="O631" s="56"/>
      <c r="P631" s="54"/>
    </row>
    <row r="632" spans="4:16" x14ac:dyDescent="0.2">
      <c r="D632" s="54"/>
      <c r="G632" s="54"/>
      <c r="H632" s="54"/>
      <c r="I632" s="54"/>
      <c r="J632" s="54"/>
      <c r="K632" s="54"/>
      <c r="L632" s="54"/>
      <c r="M632" s="54"/>
      <c r="O632" s="56"/>
      <c r="P632" s="54"/>
    </row>
    <row r="633" spans="4:16" x14ac:dyDescent="0.2">
      <c r="D633" s="54"/>
      <c r="G633" s="54"/>
      <c r="H633" s="54"/>
      <c r="I633" s="54"/>
      <c r="J633" s="54"/>
      <c r="K633" s="54"/>
      <c r="L633" s="54"/>
      <c r="M633" s="54"/>
      <c r="O633" s="56"/>
      <c r="P633" s="54"/>
    </row>
    <row r="634" spans="4:16" x14ac:dyDescent="0.2">
      <c r="D634" s="54"/>
      <c r="G634" s="54"/>
      <c r="H634" s="54"/>
      <c r="I634" s="54"/>
      <c r="J634" s="54"/>
      <c r="K634" s="54"/>
      <c r="L634" s="54"/>
      <c r="M634" s="54"/>
      <c r="O634" s="56"/>
      <c r="P634" s="54"/>
    </row>
    <row r="635" spans="4:16" x14ac:dyDescent="0.2">
      <c r="D635" s="54"/>
      <c r="G635" s="54"/>
      <c r="H635" s="54"/>
      <c r="I635" s="54"/>
      <c r="J635" s="54"/>
      <c r="K635" s="54"/>
      <c r="L635" s="54"/>
      <c r="M635" s="54"/>
      <c r="O635" s="56"/>
      <c r="P635" s="54"/>
    </row>
    <row r="636" spans="4:16" x14ac:dyDescent="0.2">
      <c r="D636" s="54"/>
      <c r="G636" s="54"/>
      <c r="H636" s="54"/>
      <c r="I636" s="54"/>
      <c r="J636" s="54"/>
      <c r="K636" s="54"/>
      <c r="L636" s="54"/>
      <c r="M636" s="54"/>
      <c r="O636" s="56"/>
      <c r="P636" s="54"/>
    </row>
    <row r="637" spans="4:16" x14ac:dyDescent="0.2">
      <c r="D637" s="54"/>
      <c r="G637" s="54"/>
      <c r="H637" s="54"/>
      <c r="I637" s="54"/>
      <c r="J637" s="54"/>
      <c r="K637" s="54"/>
      <c r="L637" s="54"/>
      <c r="M637" s="54"/>
      <c r="O637" s="56"/>
      <c r="P637" s="54"/>
    </row>
    <row r="638" spans="4:16" x14ac:dyDescent="0.2">
      <c r="D638" s="54"/>
      <c r="G638" s="54"/>
      <c r="H638" s="54"/>
      <c r="I638" s="54"/>
      <c r="J638" s="54"/>
      <c r="K638" s="54"/>
      <c r="L638" s="54"/>
      <c r="M638" s="54"/>
      <c r="O638" s="56"/>
      <c r="P638" s="54"/>
    </row>
    <row r="639" spans="4:16" x14ac:dyDescent="0.2">
      <c r="D639" s="54"/>
      <c r="G639" s="54"/>
      <c r="H639" s="54"/>
      <c r="I639" s="54"/>
      <c r="J639" s="54"/>
      <c r="K639" s="54"/>
      <c r="L639" s="54"/>
      <c r="M639" s="54"/>
      <c r="O639" s="56"/>
      <c r="P639" s="54"/>
    </row>
    <row r="640" spans="4:16" x14ac:dyDescent="0.2">
      <c r="D640" s="54"/>
      <c r="G640" s="54"/>
      <c r="H640" s="54"/>
      <c r="I640" s="54"/>
      <c r="J640" s="54"/>
      <c r="K640" s="54"/>
      <c r="L640" s="54"/>
      <c r="M640" s="54"/>
      <c r="O640" s="56"/>
      <c r="P640" s="54"/>
    </row>
    <row r="641" spans="4:16" x14ac:dyDescent="0.2">
      <c r="D641" s="54"/>
      <c r="G641" s="54"/>
      <c r="H641" s="54"/>
      <c r="I641" s="54"/>
      <c r="J641" s="54"/>
      <c r="K641" s="54"/>
      <c r="L641" s="54"/>
      <c r="M641" s="54"/>
      <c r="O641" s="56"/>
      <c r="P641" s="54"/>
    </row>
    <row r="642" spans="4:16" x14ac:dyDescent="0.2">
      <c r="D642" s="54"/>
      <c r="G642" s="54"/>
      <c r="H642" s="54"/>
      <c r="I642" s="54"/>
      <c r="J642" s="54"/>
      <c r="K642" s="54"/>
      <c r="L642" s="54"/>
      <c r="M642" s="54"/>
      <c r="O642" s="56"/>
      <c r="P642" s="54"/>
    </row>
    <row r="643" spans="4:16" x14ac:dyDescent="0.2">
      <c r="D643" s="54"/>
      <c r="G643" s="54"/>
      <c r="H643" s="54"/>
      <c r="I643" s="54"/>
      <c r="J643" s="54"/>
      <c r="K643" s="54"/>
      <c r="L643" s="54"/>
      <c r="M643" s="54"/>
      <c r="O643" s="56"/>
      <c r="P643" s="54"/>
    </row>
    <row r="644" spans="4:16" x14ac:dyDescent="0.2">
      <c r="D644" s="54"/>
      <c r="G644" s="54"/>
      <c r="H644" s="54"/>
      <c r="I644" s="54"/>
      <c r="J644" s="54"/>
      <c r="K644" s="54"/>
      <c r="L644" s="54"/>
      <c r="M644" s="54"/>
      <c r="O644" s="56"/>
      <c r="P644" s="54"/>
    </row>
    <row r="645" spans="4:16" x14ac:dyDescent="0.2">
      <c r="D645" s="54"/>
      <c r="G645" s="54"/>
      <c r="H645" s="54"/>
      <c r="I645" s="54"/>
      <c r="J645" s="54"/>
      <c r="K645" s="54"/>
      <c r="L645" s="54"/>
      <c r="M645" s="54"/>
      <c r="O645" s="56"/>
      <c r="P645" s="54"/>
    </row>
    <row r="646" spans="4:16" x14ac:dyDescent="0.2">
      <c r="D646" s="54"/>
      <c r="G646" s="54"/>
      <c r="H646" s="54"/>
      <c r="I646" s="54"/>
      <c r="J646" s="54"/>
      <c r="K646" s="54"/>
      <c r="L646" s="54"/>
      <c r="M646" s="54"/>
      <c r="O646" s="56"/>
      <c r="P646" s="54"/>
    </row>
    <row r="647" spans="4:16" x14ac:dyDescent="0.2">
      <c r="D647" s="54"/>
      <c r="G647" s="54"/>
      <c r="H647" s="54"/>
      <c r="I647" s="54"/>
      <c r="J647" s="54"/>
      <c r="K647" s="54"/>
      <c r="L647" s="54"/>
      <c r="M647" s="54"/>
      <c r="O647" s="56"/>
      <c r="P647" s="54"/>
    </row>
    <row r="648" spans="4:16" x14ac:dyDescent="0.2">
      <c r="D648" s="54"/>
      <c r="G648" s="54"/>
      <c r="H648" s="54"/>
      <c r="I648" s="54"/>
      <c r="J648" s="54"/>
      <c r="K648" s="54"/>
      <c r="L648" s="54"/>
      <c r="M648" s="54"/>
      <c r="O648" s="56"/>
      <c r="P648" s="54"/>
    </row>
    <row r="649" spans="4:16" x14ac:dyDescent="0.2">
      <c r="D649" s="54"/>
      <c r="G649" s="54"/>
      <c r="H649" s="54"/>
      <c r="I649" s="54"/>
      <c r="J649" s="54"/>
      <c r="K649" s="54"/>
      <c r="L649" s="54"/>
      <c r="M649" s="54"/>
      <c r="O649" s="56"/>
      <c r="P649" s="54"/>
    </row>
    <row r="650" spans="4:16" x14ac:dyDescent="0.2">
      <c r="D650" s="54"/>
      <c r="G650" s="54"/>
      <c r="H650" s="54"/>
      <c r="I650" s="54"/>
      <c r="J650" s="54"/>
      <c r="K650" s="54"/>
      <c r="L650" s="54"/>
      <c r="M650" s="54"/>
      <c r="O650" s="56"/>
      <c r="P650" s="54"/>
    </row>
    <row r="651" spans="4:16" x14ac:dyDescent="0.2">
      <c r="D651" s="54"/>
      <c r="G651" s="54"/>
      <c r="H651" s="54"/>
      <c r="I651" s="54"/>
      <c r="J651" s="54"/>
      <c r="K651" s="54"/>
      <c r="L651" s="54"/>
      <c r="M651" s="54"/>
      <c r="O651" s="56"/>
      <c r="P651" s="54"/>
    </row>
    <row r="652" spans="4:16" x14ac:dyDescent="0.2">
      <c r="D652" s="54"/>
      <c r="G652" s="54"/>
      <c r="H652" s="54"/>
      <c r="I652" s="54"/>
      <c r="J652" s="54"/>
      <c r="K652" s="54"/>
      <c r="L652" s="54"/>
      <c r="M652" s="54"/>
      <c r="O652" s="56"/>
      <c r="P652" s="54"/>
    </row>
    <row r="653" spans="4:16" x14ac:dyDescent="0.2">
      <c r="D653" s="54"/>
      <c r="G653" s="54"/>
      <c r="H653" s="54"/>
      <c r="I653" s="54"/>
      <c r="J653" s="54"/>
      <c r="K653" s="54"/>
      <c r="L653" s="54"/>
      <c r="M653" s="54"/>
      <c r="O653" s="56"/>
      <c r="P653" s="54"/>
    </row>
    <row r="654" spans="4:16" x14ac:dyDescent="0.2">
      <c r="D654" s="54"/>
      <c r="G654" s="54"/>
      <c r="H654" s="54"/>
      <c r="I654" s="54"/>
      <c r="J654" s="54"/>
      <c r="K654" s="54"/>
      <c r="L654" s="54"/>
      <c r="M654" s="54"/>
      <c r="O654" s="56"/>
      <c r="P654" s="54"/>
    </row>
    <row r="655" spans="4:16" x14ac:dyDescent="0.2">
      <c r="D655" s="54"/>
      <c r="G655" s="54"/>
      <c r="H655" s="54"/>
      <c r="I655" s="54"/>
      <c r="J655" s="54"/>
      <c r="K655" s="54"/>
      <c r="L655" s="54"/>
      <c r="M655" s="54"/>
      <c r="O655" s="56"/>
      <c r="P655" s="54"/>
    </row>
    <row r="656" spans="4:16" x14ac:dyDescent="0.2">
      <c r="D656" s="54"/>
      <c r="G656" s="54"/>
      <c r="H656" s="54"/>
      <c r="I656" s="54"/>
      <c r="J656" s="54"/>
      <c r="K656" s="54"/>
      <c r="L656" s="54"/>
      <c r="M656" s="54"/>
      <c r="O656" s="56"/>
      <c r="P656" s="54"/>
    </row>
    <row r="657" spans="4:16" x14ac:dyDescent="0.2">
      <c r="D657" s="54"/>
      <c r="G657" s="54"/>
      <c r="H657" s="54"/>
      <c r="I657" s="54"/>
      <c r="J657" s="54"/>
      <c r="K657" s="54"/>
      <c r="L657" s="54"/>
      <c r="M657" s="54"/>
      <c r="O657" s="56"/>
      <c r="P657" s="54"/>
    </row>
    <row r="658" spans="4:16" x14ac:dyDescent="0.2">
      <c r="D658" s="54"/>
      <c r="G658" s="54"/>
      <c r="H658" s="54"/>
      <c r="I658" s="54"/>
      <c r="J658" s="54"/>
      <c r="K658" s="54"/>
      <c r="L658" s="54"/>
      <c r="M658" s="54"/>
      <c r="O658" s="56"/>
      <c r="P658" s="54"/>
    </row>
    <row r="659" spans="4:16" x14ac:dyDescent="0.2">
      <c r="D659" s="54"/>
      <c r="G659" s="54"/>
      <c r="H659" s="54"/>
      <c r="I659" s="54"/>
      <c r="J659" s="54"/>
      <c r="K659" s="54"/>
      <c r="L659" s="54"/>
      <c r="M659" s="54"/>
      <c r="O659" s="56"/>
      <c r="P659" s="54"/>
    </row>
    <row r="660" spans="4:16" x14ac:dyDescent="0.2">
      <c r="D660" s="54"/>
      <c r="G660" s="54"/>
      <c r="H660" s="54"/>
      <c r="I660" s="54"/>
      <c r="J660" s="54"/>
      <c r="K660" s="54"/>
      <c r="L660" s="54"/>
      <c r="M660" s="54"/>
      <c r="O660" s="56"/>
      <c r="P660" s="54"/>
    </row>
    <row r="661" spans="4:16" x14ac:dyDescent="0.2">
      <c r="D661" s="54"/>
      <c r="G661" s="54"/>
      <c r="H661" s="54"/>
      <c r="I661" s="54"/>
      <c r="J661" s="54"/>
      <c r="K661" s="54"/>
      <c r="L661" s="54"/>
      <c r="M661" s="54"/>
      <c r="O661" s="56"/>
      <c r="P661" s="54"/>
    </row>
    <row r="662" spans="4:16" x14ac:dyDescent="0.2">
      <c r="D662" s="54"/>
      <c r="G662" s="54"/>
      <c r="H662" s="54"/>
      <c r="I662" s="54"/>
      <c r="J662" s="54"/>
      <c r="K662" s="54"/>
      <c r="L662" s="54"/>
      <c r="M662" s="54"/>
      <c r="O662" s="56"/>
      <c r="P662" s="54"/>
    </row>
    <row r="663" spans="4:16" x14ac:dyDescent="0.2">
      <c r="D663" s="54"/>
      <c r="G663" s="54"/>
      <c r="H663" s="54"/>
      <c r="I663" s="54"/>
      <c r="J663" s="54"/>
      <c r="K663" s="54"/>
      <c r="L663" s="54"/>
      <c r="M663" s="54"/>
      <c r="O663" s="56"/>
      <c r="P663" s="54"/>
    </row>
    <row r="664" spans="4:16" x14ac:dyDescent="0.2">
      <c r="D664" s="54"/>
      <c r="G664" s="54"/>
      <c r="H664" s="54"/>
      <c r="I664" s="54"/>
      <c r="J664" s="54"/>
      <c r="K664" s="54"/>
      <c r="L664" s="54"/>
      <c r="M664" s="54"/>
      <c r="O664" s="56"/>
      <c r="P664" s="54"/>
    </row>
    <row r="665" spans="4:16" x14ac:dyDescent="0.2">
      <c r="D665" s="54"/>
      <c r="G665" s="54"/>
      <c r="H665" s="54"/>
      <c r="I665" s="54"/>
      <c r="J665" s="54"/>
      <c r="K665" s="54"/>
      <c r="L665" s="54"/>
      <c r="M665" s="54"/>
      <c r="O665" s="56"/>
      <c r="P665" s="54"/>
    </row>
    <row r="666" spans="4:16" x14ac:dyDescent="0.2">
      <c r="D666" s="54"/>
      <c r="G666" s="54"/>
      <c r="H666" s="54"/>
      <c r="I666" s="54"/>
      <c r="J666" s="54"/>
      <c r="K666" s="54"/>
      <c r="L666" s="54"/>
      <c r="M666" s="54"/>
      <c r="O666" s="56"/>
      <c r="P666" s="54"/>
    </row>
    <row r="667" spans="4:16" x14ac:dyDescent="0.2">
      <c r="D667" s="54"/>
      <c r="G667" s="54"/>
      <c r="H667" s="54"/>
      <c r="I667" s="54"/>
      <c r="J667" s="54"/>
      <c r="K667" s="54"/>
      <c r="L667" s="54"/>
      <c r="M667" s="54"/>
      <c r="O667" s="56"/>
      <c r="P667" s="54"/>
    </row>
    <row r="668" spans="4:16" x14ac:dyDescent="0.2">
      <c r="D668" s="54"/>
      <c r="G668" s="54"/>
      <c r="H668" s="54"/>
      <c r="I668" s="54"/>
      <c r="J668" s="54"/>
      <c r="K668" s="54"/>
      <c r="L668" s="54"/>
      <c r="M668" s="54"/>
      <c r="O668" s="56"/>
      <c r="P668" s="54"/>
    </row>
    <row r="669" spans="4:16" x14ac:dyDescent="0.2">
      <c r="D669" s="54"/>
      <c r="G669" s="54"/>
      <c r="H669" s="54"/>
      <c r="I669" s="54"/>
      <c r="J669" s="54"/>
      <c r="K669" s="54"/>
      <c r="L669" s="54"/>
      <c r="M669" s="54"/>
      <c r="O669" s="56"/>
      <c r="P669" s="54"/>
    </row>
    <row r="670" spans="4:16" x14ac:dyDescent="0.2">
      <c r="D670" s="54"/>
      <c r="G670" s="54"/>
      <c r="H670" s="54"/>
      <c r="I670" s="54"/>
      <c r="J670" s="54"/>
      <c r="K670" s="54"/>
      <c r="L670" s="54"/>
      <c r="M670" s="54"/>
      <c r="O670" s="56"/>
      <c r="P670" s="54"/>
    </row>
    <row r="671" spans="4:16" x14ac:dyDescent="0.2">
      <c r="D671" s="54"/>
      <c r="G671" s="54"/>
      <c r="H671" s="54"/>
      <c r="I671" s="54"/>
      <c r="J671" s="54"/>
      <c r="K671" s="54"/>
      <c r="L671" s="54"/>
      <c r="M671" s="54"/>
      <c r="O671" s="56"/>
      <c r="P671" s="54"/>
    </row>
    <row r="672" spans="4:16" x14ac:dyDescent="0.2">
      <c r="D672" s="54"/>
      <c r="G672" s="54"/>
      <c r="H672" s="54"/>
      <c r="I672" s="54"/>
      <c r="J672" s="54"/>
      <c r="K672" s="54"/>
      <c r="L672" s="54"/>
      <c r="M672" s="54"/>
      <c r="O672" s="56"/>
      <c r="P672" s="54"/>
    </row>
    <row r="673" spans="4:16" x14ac:dyDescent="0.2">
      <c r="D673" s="54"/>
      <c r="G673" s="54"/>
      <c r="H673" s="54"/>
      <c r="I673" s="54"/>
      <c r="J673" s="54"/>
      <c r="K673" s="54"/>
      <c r="L673" s="54"/>
      <c r="M673" s="54"/>
      <c r="O673" s="56"/>
      <c r="P673" s="54"/>
    </row>
    <row r="674" spans="4:16" x14ac:dyDescent="0.2">
      <c r="D674" s="54"/>
      <c r="G674" s="54"/>
      <c r="H674" s="54"/>
      <c r="I674" s="54"/>
      <c r="J674" s="54"/>
      <c r="K674" s="54"/>
      <c r="L674" s="54"/>
      <c r="M674" s="54"/>
      <c r="O674" s="56"/>
      <c r="P674" s="54"/>
    </row>
    <row r="675" spans="4:16" x14ac:dyDescent="0.2">
      <c r="D675" s="54"/>
      <c r="G675" s="54"/>
      <c r="H675" s="54"/>
      <c r="I675" s="54"/>
      <c r="J675" s="54"/>
      <c r="K675" s="54"/>
      <c r="L675" s="54"/>
      <c r="M675" s="54"/>
      <c r="O675" s="56"/>
      <c r="P675" s="54"/>
    </row>
    <row r="676" spans="4:16" x14ac:dyDescent="0.2">
      <c r="D676" s="54"/>
      <c r="G676" s="54"/>
      <c r="H676" s="54"/>
      <c r="I676" s="54"/>
      <c r="J676" s="54"/>
      <c r="K676" s="54"/>
      <c r="L676" s="54"/>
      <c r="M676" s="54"/>
      <c r="O676" s="56"/>
      <c r="P676" s="54"/>
    </row>
    <row r="677" spans="4:16" x14ac:dyDescent="0.2">
      <c r="D677" s="54"/>
      <c r="G677" s="54"/>
      <c r="H677" s="54"/>
      <c r="I677" s="54"/>
      <c r="J677" s="54"/>
      <c r="K677" s="54"/>
      <c r="L677" s="54"/>
      <c r="M677" s="54"/>
      <c r="O677" s="56"/>
      <c r="P677" s="54"/>
    </row>
    <row r="678" spans="4:16" x14ac:dyDescent="0.2">
      <c r="D678" s="54"/>
      <c r="G678" s="54"/>
      <c r="H678" s="54"/>
      <c r="I678" s="54"/>
      <c r="J678" s="54"/>
      <c r="K678" s="54"/>
      <c r="L678" s="54"/>
      <c r="M678" s="54"/>
      <c r="O678" s="56"/>
      <c r="P678" s="54"/>
    </row>
    <row r="679" spans="4:16" x14ac:dyDescent="0.2">
      <c r="D679" s="54"/>
      <c r="G679" s="54"/>
      <c r="H679" s="54"/>
      <c r="I679" s="54"/>
      <c r="J679" s="54"/>
      <c r="K679" s="54"/>
      <c r="L679" s="54"/>
      <c r="M679" s="54"/>
      <c r="O679" s="56"/>
      <c r="P679" s="54"/>
    </row>
    <row r="680" spans="4:16" x14ac:dyDescent="0.2">
      <c r="D680" s="54"/>
      <c r="G680" s="54"/>
      <c r="H680" s="54"/>
      <c r="I680" s="54"/>
      <c r="J680" s="54"/>
      <c r="K680" s="54"/>
      <c r="L680" s="54"/>
      <c r="M680" s="54"/>
      <c r="O680" s="56"/>
      <c r="P680" s="54"/>
    </row>
    <row r="681" spans="4:16" x14ac:dyDescent="0.2">
      <c r="D681" s="54"/>
      <c r="G681" s="54"/>
      <c r="H681" s="54"/>
      <c r="I681" s="54"/>
      <c r="J681" s="54"/>
      <c r="K681" s="54"/>
      <c r="L681" s="54"/>
      <c r="M681" s="54"/>
      <c r="O681" s="56"/>
      <c r="P681" s="54"/>
    </row>
    <row r="682" spans="4:16" x14ac:dyDescent="0.2">
      <c r="D682" s="54"/>
      <c r="G682" s="54"/>
      <c r="H682" s="54"/>
      <c r="I682" s="54"/>
      <c r="J682" s="54"/>
      <c r="K682" s="54"/>
      <c r="L682" s="54"/>
      <c r="M682" s="54"/>
      <c r="O682" s="56"/>
      <c r="P682" s="54"/>
    </row>
    <row r="683" spans="4:16" x14ac:dyDescent="0.2">
      <c r="D683" s="54"/>
      <c r="G683" s="54"/>
      <c r="H683" s="54"/>
      <c r="I683" s="54"/>
      <c r="J683" s="54"/>
      <c r="K683" s="54"/>
      <c r="L683" s="54"/>
      <c r="M683" s="54"/>
      <c r="O683" s="56"/>
      <c r="P683" s="54"/>
    </row>
    <row r="684" spans="4:16" x14ac:dyDescent="0.2">
      <c r="D684" s="54"/>
      <c r="G684" s="54"/>
      <c r="H684" s="54"/>
      <c r="I684" s="54"/>
      <c r="J684" s="54"/>
      <c r="K684" s="54"/>
      <c r="L684" s="54"/>
      <c r="M684" s="54"/>
      <c r="O684" s="56"/>
      <c r="P684" s="54"/>
    </row>
    <row r="685" spans="4:16" x14ac:dyDescent="0.2">
      <c r="D685" s="54"/>
      <c r="G685" s="54"/>
      <c r="H685" s="54"/>
      <c r="I685" s="54"/>
      <c r="J685" s="54"/>
      <c r="K685" s="54"/>
      <c r="L685" s="54"/>
      <c r="M685" s="54"/>
      <c r="O685" s="56"/>
      <c r="P685" s="54"/>
    </row>
    <row r="686" spans="4:16" x14ac:dyDescent="0.2">
      <c r="D686" s="54"/>
      <c r="G686" s="54"/>
      <c r="H686" s="54"/>
      <c r="I686" s="54"/>
      <c r="J686" s="54"/>
      <c r="K686" s="54"/>
      <c r="L686" s="54"/>
      <c r="M686" s="54"/>
      <c r="O686" s="56"/>
      <c r="P686" s="54"/>
    </row>
    <row r="687" spans="4:16" x14ac:dyDescent="0.2">
      <c r="D687" s="54"/>
      <c r="G687" s="54"/>
      <c r="H687" s="54"/>
      <c r="I687" s="54"/>
      <c r="J687" s="54"/>
      <c r="K687" s="54"/>
      <c r="L687" s="54"/>
      <c r="M687" s="54"/>
      <c r="O687" s="56"/>
      <c r="P687" s="54"/>
    </row>
    <row r="688" spans="4:16" x14ac:dyDescent="0.2">
      <c r="D688" s="54"/>
      <c r="G688" s="54"/>
      <c r="H688" s="54"/>
      <c r="I688" s="54"/>
      <c r="J688" s="54"/>
      <c r="K688" s="54"/>
      <c r="L688" s="54"/>
      <c r="M688" s="54"/>
      <c r="O688" s="56"/>
      <c r="P688" s="54"/>
    </row>
    <row r="689" spans="4:16" x14ac:dyDescent="0.2">
      <c r="D689" s="54"/>
      <c r="G689" s="54"/>
      <c r="H689" s="54"/>
      <c r="I689" s="54"/>
      <c r="J689" s="54"/>
      <c r="K689" s="54"/>
      <c r="L689" s="54"/>
      <c r="M689" s="54"/>
      <c r="O689" s="56"/>
      <c r="P689" s="54"/>
    </row>
    <row r="690" spans="4:16" x14ac:dyDescent="0.2">
      <c r="D690" s="54"/>
      <c r="G690" s="54"/>
      <c r="H690" s="54"/>
      <c r="I690" s="54"/>
      <c r="J690" s="54"/>
      <c r="K690" s="54"/>
      <c r="L690" s="54"/>
      <c r="M690" s="54"/>
      <c r="O690" s="56"/>
      <c r="P690" s="54"/>
    </row>
    <row r="691" spans="4:16" x14ac:dyDescent="0.2">
      <c r="D691" s="54"/>
      <c r="G691" s="54"/>
      <c r="H691" s="54"/>
      <c r="I691" s="54"/>
      <c r="J691" s="54"/>
      <c r="K691" s="54"/>
      <c r="L691" s="54"/>
      <c r="M691" s="54"/>
      <c r="O691" s="56"/>
      <c r="P691" s="54"/>
    </row>
    <row r="692" spans="4:16" x14ac:dyDescent="0.2">
      <c r="D692" s="54"/>
      <c r="G692" s="54"/>
      <c r="H692" s="54"/>
      <c r="I692" s="54"/>
      <c r="J692" s="54"/>
      <c r="K692" s="54"/>
      <c r="L692" s="54"/>
      <c r="M692" s="54"/>
      <c r="O692" s="56"/>
      <c r="P692" s="54"/>
    </row>
    <row r="693" spans="4:16" x14ac:dyDescent="0.2">
      <c r="D693" s="54"/>
      <c r="G693" s="54"/>
      <c r="H693" s="54"/>
      <c r="I693" s="54"/>
      <c r="J693" s="54"/>
      <c r="K693" s="54"/>
      <c r="L693" s="54"/>
      <c r="M693" s="54"/>
      <c r="O693" s="56"/>
      <c r="P693" s="54"/>
    </row>
    <row r="694" spans="4:16" x14ac:dyDescent="0.2">
      <c r="D694" s="54"/>
      <c r="G694" s="54"/>
      <c r="H694" s="54"/>
      <c r="I694" s="54"/>
      <c r="J694" s="54"/>
      <c r="K694" s="54"/>
      <c r="L694" s="54"/>
      <c r="M694" s="54"/>
      <c r="O694" s="56"/>
      <c r="P694" s="54"/>
    </row>
    <row r="695" spans="4:16" x14ac:dyDescent="0.2">
      <c r="D695" s="54"/>
      <c r="G695" s="54"/>
      <c r="H695" s="54"/>
      <c r="I695" s="54"/>
      <c r="J695" s="54"/>
      <c r="K695" s="54"/>
      <c r="L695" s="54"/>
      <c r="M695" s="54"/>
      <c r="O695" s="56"/>
      <c r="P695" s="54"/>
    </row>
    <row r="696" spans="4:16" x14ac:dyDescent="0.2">
      <c r="D696" s="54"/>
      <c r="G696" s="54"/>
      <c r="H696" s="54"/>
      <c r="I696" s="54"/>
      <c r="J696" s="54"/>
      <c r="K696" s="54"/>
      <c r="L696" s="54"/>
      <c r="M696" s="54"/>
      <c r="O696" s="56"/>
      <c r="P696" s="54"/>
    </row>
    <row r="697" spans="4:16" x14ac:dyDescent="0.2">
      <c r="D697" s="54"/>
      <c r="G697" s="54"/>
      <c r="H697" s="54"/>
      <c r="I697" s="54"/>
      <c r="J697" s="54"/>
      <c r="K697" s="54"/>
      <c r="L697" s="54"/>
      <c r="M697" s="54"/>
      <c r="O697" s="56"/>
      <c r="P697" s="54"/>
    </row>
    <row r="698" spans="4:16" x14ac:dyDescent="0.2">
      <c r="D698" s="54"/>
      <c r="G698" s="54"/>
      <c r="H698" s="54"/>
      <c r="I698" s="54"/>
      <c r="J698" s="54"/>
      <c r="K698" s="54"/>
      <c r="L698" s="54"/>
      <c r="M698" s="54"/>
      <c r="O698" s="56"/>
      <c r="P698" s="54"/>
    </row>
    <row r="699" spans="4:16" x14ac:dyDescent="0.2">
      <c r="D699" s="54"/>
      <c r="G699" s="54"/>
      <c r="H699" s="54"/>
      <c r="I699" s="54"/>
      <c r="J699" s="54"/>
      <c r="K699" s="54"/>
      <c r="L699" s="54"/>
      <c r="M699" s="54"/>
      <c r="O699" s="56"/>
      <c r="P699" s="54"/>
    </row>
    <row r="700" spans="4:16" x14ac:dyDescent="0.2">
      <c r="D700" s="54"/>
      <c r="G700" s="54"/>
      <c r="H700" s="54"/>
      <c r="I700" s="54"/>
      <c r="J700" s="54"/>
      <c r="K700" s="54"/>
      <c r="L700" s="54"/>
      <c r="M700" s="54"/>
      <c r="O700" s="56"/>
      <c r="P700" s="54"/>
    </row>
    <row r="701" spans="4:16" x14ac:dyDescent="0.2">
      <c r="D701" s="54"/>
      <c r="G701" s="54"/>
      <c r="H701" s="54"/>
      <c r="I701" s="54"/>
      <c r="J701" s="54"/>
      <c r="K701" s="54"/>
      <c r="L701" s="54"/>
      <c r="M701" s="54"/>
      <c r="O701" s="56"/>
      <c r="P701" s="54"/>
    </row>
    <row r="702" spans="4:16" x14ac:dyDescent="0.2">
      <c r="D702" s="54"/>
      <c r="G702" s="54"/>
      <c r="H702" s="54"/>
      <c r="I702" s="54"/>
      <c r="J702" s="54"/>
      <c r="K702" s="54"/>
      <c r="L702" s="54"/>
      <c r="M702" s="54"/>
      <c r="O702" s="56"/>
      <c r="P702" s="54"/>
    </row>
    <row r="703" spans="4:16" x14ac:dyDescent="0.2">
      <c r="D703" s="54"/>
      <c r="G703" s="54"/>
      <c r="H703" s="54"/>
      <c r="I703" s="54"/>
      <c r="J703" s="54"/>
      <c r="K703" s="54"/>
      <c r="L703" s="54"/>
      <c r="M703" s="54"/>
      <c r="O703" s="56"/>
      <c r="P703" s="54"/>
    </row>
    <row r="704" spans="4:16" x14ac:dyDescent="0.2">
      <c r="D704" s="54"/>
      <c r="G704" s="54"/>
      <c r="H704" s="54"/>
      <c r="I704" s="54"/>
      <c r="J704" s="54"/>
      <c r="K704" s="54"/>
      <c r="L704" s="54"/>
      <c r="M704" s="54"/>
      <c r="O704" s="56"/>
      <c r="P704" s="54"/>
    </row>
    <row r="705" spans="4:16" x14ac:dyDescent="0.2">
      <c r="D705" s="54"/>
      <c r="G705" s="54"/>
      <c r="H705" s="54"/>
      <c r="I705" s="54"/>
      <c r="J705" s="54"/>
      <c r="K705" s="54"/>
      <c r="L705" s="54"/>
      <c r="M705" s="54"/>
      <c r="O705" s="56"/>
      <c r="P705" s="54"/>
    </row>
    <row r="706" spans="4:16" x14ac:dyDescent="0.2">
      <c r="D706" s="54"/>
      <c r="G706" s="54"/>
      <c r="H706" s="54"/>
      <c r="I706" s="54"/>
      <c r="J706" s="54"/>
      <c r="K706" s="54"/>
      <c r="L706" s="54"/>
      <c r="M706" s="54"/>
      <c r="O706" s="56"/>
      <c r="P706" s="54"/>
    </row>
    <row r="707" spans="4:16" x14ac:dyDescent="0.2">
      <c r="D707" s="54"/>
      <c r="G707" s="54"/>
      <c r="H707" s="54"/>
      <c r="I707" s="54"/>
      <c r="J707" s="54"/>
      <c r="K707" s="54"/>
      <c r="L707" s="54"/>
      <c r="M707" s="54"/>
      <c r="O707" s="56"/>
      <c r="P707" s="54"/>
    </row>
    <row r="708" spans="4:16" x14ac:dyDescent="0.2">
      <c r="D708" s="54"/>
      <c r="G708" s="54"/>
      <c r="H708" s="54"/>
      <c r="I708" s="54"/>
      <c r="J708" s="54"/>
      <c r="K708" s="54"/>
      <c r="L708" s="54"/>
      <c r="M708" s="54"/>
      <c r="O708" s="56"/>
      <c r="P708" s="54"/>
    </row>
    <row r="709" spans="4:16" x14ac:dyDescent="0.2">
      <c r="D709" s="54"/>
      <c r="G709" s="54"/>
      <c r="H709" s="54"/>
      <c r="I709" s="54"/>
      <c r="J709" s="54"/>
      <c r="K709" s="54"/>
      <c r="L709" s="54"/>
      <c r="M709" s="54"/>
      <c r="O709" s="56"/>
      <c r="P709" s="54"/>
    </row>
    <row r="710" spans="4:16" x14ac:dyDescent="0.2">
      <c r="D710" s="54"/>
      <c r="G710" s="54"/>
      <c r="H710" s="54"/>
      <c r="I710" s="54"/>
      <c r="J710" s="54"/>
      <c r="K710" s="54"/>
      <c r="L710" s="54"/>
      <c r="M710" s="54"/>
      <c r="O710" s="56"/>
      <c r="P710" s="54"/>
    </row>
    <row r="711" spans="4:16" x14ac:dyDescent="0.2">
      <c r="D711" s="54"/>
      <c r="G711" s="54"/>
      <c r="H711" s="54"/>
      <c r="I711" s="54"/>
      <c r="J711" s="54"/>
      <c r="K711" s="54"/>
      <c r="L711" s="54"/>
      <c r="M711" s="54"/>
      <c r="O711" s="56"/>
      <c r="P711" s="54"/>
    </row>
    <row r="712" spans="4:16" x14ac:dyDescent="0.2">
      <c r="D712" s="54"/>
      <c r="G712" s="54"/>
      <c r="H712" s="54"/>
      <c r="I712" s="54"/>
      <c r="J712" s="54"/>
      <c r="K712" s="54"/>
      <c r="L712" s="54"/>
      <c r="M712" s="54"/>
      <c r="O712" s="56"/>
      <c r="P712" s="54"/>
    </row>
    <row r="713" spans="4:16" x14ac:dyDescent="0.2">
      <c r="D713" s="54"/>
      <c r="G713" s="54"/>
      <c r="H713" s="54"/>
      <c r="I713" s="54"/>
      <c r="J713" s="54"/>
      <c r="K713" s="54"/>
      <c r="L713" s="54"/>
      <c r="M713" s="54"/>
      <c r="O713" s="56"/>
      <c r="P713" s="54"/>
    </row>
    <row r="714" spans="4:16" x14ac:dyDescent="0.2">
      <c r="D714" s="54"/>
      <c r="G714" s="54"/>
      <c r="H714" s="54"/>
      <c r="I714" s="54"/>
      <c r="J714" s="54"/>
      <c r="K714" s="54"/>
      <c r="L714" s="54"/>
      <c r="M714" s="54"/>
      <c r="O714" s="56"/>
      <c r="P714" s="54"/>
    </row>
    <row r="715" spans="4:16" x14ac:dyDescent="0.2">
      <c r="D715" s="54"/>
      <c r="G715" s="54"/>
      <c r="H715" s="54"/>
      <c r="I715" s="54"/>
      <c r="J715" s="54"/>
      <c r="K715" s="54"/>
      <c r="L715" s="54"/>
      <c r="M715" s="54"/>
      <c r="O715" s="56"/>
      <c r="P715" s="54"/>
    </row>
    <row r="716" spans="4:16" x14ac:dyDescent="0.2">
      <c r="D716" s="54"/>
      <c r="G716" s="54"/>
      <c r="H716" s="54"/>
      <c r="I716" s="54"/>
      <c r="J716" s="54"/>
      <c r="K716" s="54"/>
      <c r="L716" s="54"/>
      <c r="M716" s="54"/>
      <c r="O716" s="56"/>
      <c r="P716" s="54"/>
    </row>
    <row r="717" spans="4:16" x14ac:dyDescent="0.2">
      <c r="D717" s="54"/>
      <c r="G717" s="54"/>
      <c r="H717" s="54"/>
      <c r="I717" s="54"/>
      <c r="J717" s="54"/>
      <c r="K717" s="54"/>
      <c r="L717" s="54"/>
      <c r="M717" s="54"/>
      <c r="O717" s="56"/>
      <c r="P717" s="54"/>
    </row>
    <row r="718" spans="4:16" x14ac:dyDescent="0.2">
      <c r="D718" s="54"/>
      <c r="G718" s="54"/>
      <c r="H718" s="54"/>
      <c r="I718" s="54"/>
      <c r="J718" s="54"/>
      <c r="K718" s="54"/>
      <c r="L718" s="54"/>
      <c r="M718" s="54"/>
      <c r="O718" s="56"/>
      <c r="P718" s="54"/>
    </row>
    <row r="719" spans="4:16" x14ac:dyDescent="0.2">
      <c r="D719" s="54"/>
      <c r="G719" s="54"/>
      <c r="H719" s="54"/>
      <c r="I719" s="54"/>
      <c r="J719" s="54"/>
      <c r="K719" s="54"/>
      <c r="L719" s="54"/>
      <c r="M719" s="54"/>
      <c r="O719" s="56"/>
      <c r="P719" s="54"/>
    </row>
    <row r="720" spans="4:16" x14ac:dyDescent="0.2">
      <c r="D720" s="54"/>
      <c r="G720" s="54"/>
      <c r="H720" s="54"/>
      <c r="I720" s="54"/>
      <c r="J720" s="54"/>
      <c r="K720" s="54"/>
      <c r="L720" s="54"/>
      <c r="M720" s="54"/>
      <c r="O720" s="56"/>
      <c r="P720" s="54"/>
    </row>
    <row r="721" spans="4:16" x14ac:dyDescent="0.2">
      <c r="D721" s="54"/>
      <c r="G721" s="54"/>
      <c r="H721" s="54"/>
      <c r="I721" s="54"/>
      <c r="J721" s="54"/>
      <c r="K721" s="54"/>
      <c r="L721" s="54"/>
      <c r="M721" s="54"/>
      <c r="O721" s="56"/>
      <c r="P721" s="54"/>
    </row>
    <row r="722" spans="4:16" x14ac:dyDescent="0.2">
      <c r="D722" s="54"/>
      <c r="G722" s="54"/>
      <c r="H722" s="54"/>
      <c r="I722" s="54"/>
      <c r="J722" s="54"/>
      <c r="K722" s="54"/>
      <c r="L722" s="54"/>
      <c r="M722" s="54"/>
      <c r="O722" s="56"/>
      <c r="P722" s="54"/>
    </row>
    <row r="723" spans="4:16" x14ac:dyDescent="0.2">
      <c r="D723" s="54"/>
      <c r="G723" s="54"/>
      <c r="H723" s="54"/>
      <c r="I723" s="54"/>
      <c r="J723" s="54"/>
      <c r="K723" s="54"/>
      <c r="L723" s="54"/>
      <c r="M723" s="54"/>
      <c r="O723" s="56"/>
      <c r="P723" s="54"/>
    </row>
    <row r="724" spans="4:16" x14ac:dyDescent="0.2">
      <c r="D724" s="54"/>
      <c r="G724" s="54"/>
      <c r="H724" s="54"/>
      <c r="I724" s="54"/>
      <c r="J724" s="54"/>
      <c r="K724" s="54"/>
      <c r="L724" s="54"/>
      <c r="M724" s="54"/>
      <c r="O724" s="56"/>
      <c r="P724" s="54"/>
    </row>
    <row r="725" spans="4:16" x14ac:dyDescent="0.2">
      <c r="D725" s="54"/>
      <c r="G725" s="54"/>
      <c r="H725" s="54"/>
      <c r="I725" s="54"/>
      <c r="J725" s="54"/>
      <c r="K725" s="54"/>
      <c r="L725" s="54"/>
      <c r="M725" s="54"/>
      <c r="O725" s="56"/>
      <c r="P725" s="54"/>
    </row>
    <row r="726" spans="4:16" x14ac:dyDescent="0.2">
      <c r="D726" s="54"/>
      <c r="G726" s="54"/>
      <c r="H726" s="54"/>
      <c r="I726" s="54"/>
      <c r="J726" s="54"/>
      <c r="K726" s="54"/>
      <c r="L726" s="54"/>
      <c r="M726" s="54"/>
      <c r="O726" s="56"/>
      <c r="P726" s="54"/>
    </row>
    <row r="727" spans="4:16" x14ac:dyDescent="0.2">
      <c r="D727" s="54"/>
      <c r="G727" s="54"/>
      <c r="H727" s="54"/>
      <c r="I727" s="54"/>
      <c r="J727" s="54"/>
      <c r="K727" s="54"/>
      <c r="L727" s="54"/>
      <c r="M727" s="54"/>
      <c r="O727" s="56"/>
      <c r="P727" s="54"/>
    </row>
    <row r="728" spans="4:16" x14ac:dyDescent="0.2">
      <c r="D728" s="54"/>
      <c r="G728" s="54"/>
      <c r="H728" s="54"/>
      <c r="I728" s="54"/>
      <c r="J728" s="54"/>
      <c r="K728" s="54"/>
      <c r="L728" s="54"/>
      <c r="M728" s="54"/>
      <c r="O728" s="56"/>
      <c r="P728" s="54"/>
    </row>
    <row r="729" spans="4:16" x14ac:dyDescent="0.2">
      <c r="D729" s="54"/>
      <c r="G729" s="54"/>
      <c r="H729" s="54"/>
      <c r="I729" s="54"/>
      <c r="J729" s="54"/>
      <c r="K729" s="54"/>
      <c r="L729" s="54"/>
      <c r="M729" s="54"/>
      <c r="O729" s="56"/>
      <c r="P729" s="54"/>
    </row>
    <row r="730" spans="4:16" x14ac:dyDescent="0.2">
      <c r="D730" s="54"/>
      <c r="G730" s="54"/>
      <c r="H730" s="54"/>
      <c r="I730" s="54"/>
      <c r="J730" s="54"/>
      <c r="K730" s="54"/>
      <c r="L730" s="54"/>
      <c r="M730" s="54"/>
      <c r="O730" s="56"/>
      <c r="P730" s="54"/>
    </row>
    <row r="731" spans="4:16" x14ac:dyDescent="0.2">
      <c r="D731" s="54"/>
      <c r="G731" s="54"/>
      <c r="H731" s="54"/>
      <c r="I731" s="54"/>
      <c r="J731" s="54"/>
      <c r="K731" s="54"/>
      <c r="L731" s="54"/>
      <c r="M731" s="54"/>
      <c r="O731" s="56"/>
      <c r="P731" s="54"/>
    </row>
    <row r="732" spans="4:16" x14ac:dyDescent="0.2">
      <c r="D732" s="54"/>
      <c r="G732" s="54"/>
      <c r="H732" s="54"/>
      <c r="I732" s="54"/>
      <c r="J732" s="54"/>
      <c r="K732" s="54"/>
      <c r="L732" s="54"/>
      <c r="M732" s="54"/>
      <c r="O732" s="56"/>
      <c r="P732" s="54"/>
    </row>
    <row r="733" spans="4:16" x14ac:dyDescent="0.2">
      <c r="D733" s="54"/>
      <c r="G733" s="54"/>
      <c r="H733" s="54"/>
      <c r="I733" s="54"/>
      <c r="J733" s="54"/>
      <c r="K733" s="54"/>
      <c r="L733" s="54"/>
      <c r="M733" s="54"/>
      <c r="O733" s="56"/>
      <c r="P733" s="54"/>
    </row>
    <row r="734" spans="4:16" x14ac:dyDescent="0.2">
      <c r="D734" s="54"/>
      <c r="G734" s="54"/>
      <c r="H734" s="54"/>
      <c r="I734" s="54"/>
      <c r="J734" s="54"/>
      <c r="K734" s="54"/>
      <c r="L734" s="54"/>
      <c r="M734" s="54"/>
      <c r="O734" s="56"/>
      <c r="P734" s="54"/>
    </row>
    <row r="735" spans="4:16" x14ac:dyDescent="0.2">
      <c r="D735" s="54"/>
      <c r="G735" s="54"/>
      <c r="H735" s="54"/>
      <c r="I735" s="54"/>
      <c r="J735" s="54"/>
      <c r="K735" s="54"/>
      <c r="L735" s="54"/>
      <c r="M735" s="54"/>
      <c r="O735" s="56"/>
      <c r="P735" s="54"/>
    </row>
    <row r="736" spans="4:16" x14ac:dyDescent="0.2">
      <c r="D736" s="54"/>
      <c r="G736" s="54"/>
      <c r="H736" s="54"/>
      <c r="I736" s="54"/>
      <c r="J736" s="54"/>
      <c r="K736" s="54"/>
      <c r="L736" s="54"/>
      <c r="M736" s="54"/>
      <c r="O736" s="56"/>
      <c r="P736" s="54"/>
    </row>
    <row r="737" spans="4:16" x14ac:dyDescent="0.2">
      <c r="D737" s="54"/>
      <c r="G737" s="54"/>
      <c r="H737" s="54"/>
      <c r="I737" s="54"/>
      <c r="J737" s="54"/>
      <c r="K737" s="54"/>
      <c r="L737" s="54"/>
      <c r="M737" s="54"/>
      <c r="O737" s="56"/>
      <c r="P737" s="54"/>
    </row>
    <row r="738" spans="4:16" x14ac:dyDescent="0.2">
      <c r="D738" s="54"/>
      <c r="G738" s="54"/>
      <c r="H738" s="54"/>
      <c r="I738" s="54"/>
      <c r="J738" s="54"/>
      <c r="K738" s="54"/>
      <c r="L738" s="54"/>
      <c r="M738" s="54"/>
      <c r="O738" s="56"/>
      <c r="P738" s="54"/>
    </row>
    <row r="739" spans="4:16" x14ac:dyDescent="0.2">
      <c r="D739" s="54"/>
      <c r="G739" s="54"/>
      <c r="H739" s="54"/>
      <c r="I739" s="54"/>
      <c r="J739" s="54"/>
      <c r="K739" s="54"/>
      <c r="L739" s="54"/>
      <c r="M739" s="54"/>
      <c r="O739" s="56"/>
      <c r="P739" s="54"/>
    </row>
    <row r="740" spans="4:16" x14ac:dyDescent="0.2">
      <c r="D740" s="54"/>
      <c r="G740" s="54"/>
      <c r="H740" s="54"/>
      <c r="I740" s="54"/>
      <c r="J740" s="54"/>
      <c r="K740" s="54"/>
      <c r="L740" s="54"/>
      <c r="M740" s="54"/>
      <c r="O740" s="56"/>
      <c r="P740" s="54"/>
    </row>
    <row r="741" spans="4:16" x14ac:dyDescent="0.2">
      <c r="D741" s="54"/>
      <c r="G741" s="54"/>
      <c r="H741" s="54"/>
      <c r="I741" s="54"/>
      <c r="J741" s="54"/>
      <c r="K741" s="54"/>
      <c r="L741" s="54"/>
      <c r="M741" s="54"/>
      <c r="O741" s="56"/>
      <c r="P741" s="54"/>
    </row>
    <row r="742" spans="4:16" x14ac:dyDescent="0.2">
      <c r="D742" s="54"/>
      <c r="G742" s="54"/>
      <c r="H742" s="54"/>
      <c r="I742" s="54"/>
      <c r="J742" s="54"/>
      <c r="K742" s="54"/>
      <c r="L742" s="54"/>
      <c r="M742" s="54"/>
      <c r="O742" s="56"/>
      <c r="P742" s="54"/>
    </row>
    <row r="743" spans="4:16" x14ac:dyDescent="0.2">
      <c r="D743" s="54"/>
      <c r="G743" s="54"/>
      <c r="H743" s="54"/>
      <c r="I743" s="54"/>
      <c r="J743" s="54"/>
      <c r="K743" s="54"/>
      <c r="L743" s="54"/>
      <c r="M743" s="54"/>
      <c r="O743" s="56"/>
      <c r="P743" s="54"/>
    </row>
    <row r="744" spans="4:16" x14ac:dyDescent="0.2">
      <c r="D744" s="54"/>
      <c r="G744" s="54"/>
      <c r="H744" s="54"/>
      <c r="I744" s="54"/>
      <c r="J744" s="54"/>
      <c r="K744" s="54"/>
      <c r="L744" s="54"/>
      <c r="M744" s="54"/>
      <c r="O744" s="56"/>
      <c r="P744" s="54"/>
    </row>
    <row r="745" spans="4:16" x14ac:dyDescent="0.2">
      <c r="D745" s="54"/>
      <c r="G745" s="54"/>
      <c r="H745" s="54"/>
      <c r="I745" s="54"/>
      <c r="J745" s="54"/>
      <c r="K745" s="54"/>
      <c r="L745" s="54"/>
      <c r="M745" s="54"/>
      <c r="O745" s="56"/>
      <c r="P745" s="54"/>
    </row>
    <row r="746" spans="4:16" x14ac:dyDescent="0.2">
      <c r="D746" s="54"/>
      <c r="G746" s="54"/>
      <c r="H746" s="54"/>
      <c r="I746" s="54"/>
      <c r="J746" s="54"/>
      <c r="K746" s="54"/>
      <c r="L746" s="54"/>
      <c r="M746" s="54"/>
      <c r="O746" s="56"/>
      <c r="P746" s="54"/>
    </row>
    <row r="747" spans="4:16" x14ac:dyDescent="0.2">
      <c r="D747" s="54"/>
      <c r="G747" s="54"/>
      <c r="H747" s="54"/>
      <c r="I747" s="54"/>
      <c r="J747" s="54"/>
      <c r="K747" s="54"/>
      <c r="L747" s="54"/>
      <c r="M747" s="54"/>
      <c r="O747" s="56"/>
      <c r="P747" s="54"/>
    </row>
    <row r="748" spans="4:16" x14ac:dyDescent="0.2">
      <c r="D748" s="54"/>
      <c r="G748" s="54"/>
      <c r="H748" s="54"/>
      <c r="I748" s="54"/>
      <c r="J748" s="54"/>
      <c r="K748" s="54"/>
      <c r="L748" s="54"/>
      <c r="M748" s="54"/>
      <c r="O748" s="56"/>
      <c r="P748" s="54"/>
    </row>
    <row r="749" spans="4:16" x14ac:dyDescent="0.2">
      <c r="D749" s="54"/>
      <c r="G749" s="54"/>
      <c r="H749" s="54"/>
      <c r="I749" s="54"/>
      <c r="J749" s="54"/>
      <c r="K749" s="54"/>
      <c r="L749" s="54"/>
      <c r="M749" s="54"/>
      <c r="O749" s="56"/>
      <c r="P749" s="54"/>
    </row>
    <row r="750" spans="4:16" x14ac:dyDescent="0.2">
      <c r="D750" s="54"/>
      <c r="G750" s="54"/>
      <c r="H750" s="54"/>
      <c r="I750" s="54"/>
      <c r="J750" s="54"/>
      <c r="K750" s="54"/>
      <c r="L750" s="54"/>
      <c r="M750" s="54"/>
      <c r="O750" s="56"/>
      <c r="P750" s="54"/>
    </row>
    <row r="751" spans="4:16" x14ac:dyDescent="0.2">
      <c r="D751" s="54"/>
      <c r="G751" s="54"/>
      <c r="H751" s="54"/>
      <c r="I751" s="54"/>
      <c r="J751" s="54"/>
      <c r="K751" s="54"/>
      <c r="L751" s="54"/>
      <c r="M751" s="54"/>
      <c r="O751" s="56"/>
      <c r="P751" s="54"/>
    </row>
    <row r="752" spans="4:16" x14ac:dyDescent="0.2">
      <c r="D752" s="54"/>
      <c r="G752" s="54"/>
      <c r="H752" s="54"/>
      <c r="I752" s="54"/>
      <c r="J752" s="54"/>
      <c r="K752" s="54"/>
      <c r="L752" s="54"/>
      <c r="M752" s="54"/>
      <c r="O752" s="56"/>
      <c r="P752" s="54"/>
    </row>
    <row r="753" spans="4:16" x14ac:dyDescent="0.2">
      <c r="D753" s="54"/>
      <c r="G753" s="54"/>
      <c r="H753" s="54"/>
      <c r="I753" s="54"/>
      <c r="J753" s="54"/>
      <c r="K753" s="54"/>
      <c r="L753" s="54"/>
      <c r="M753" s="54"/>
      <c r="O753" s="56"/>
      <c r="P753" s="54"/>
    </row>
    <row r="754" spans="4:16" x14ac:dyDescent="0.2">
      <c r="D754" s="54"/>
      <c r="G754" s="54"/>
      <c r="H754" s="54"/>
      <c r="I754" s="54"/>
      <c r="J754" s="54"/>
      <c r="K754" s="54"/>
      <c r="L754" s="54"/>
      <c r="M754" s="54"/>
      <c r="O754" s="56"/>
      <c r="P754" s="54"/>
    </row>
    <row r="755" spans="4:16" x14ac:dyDescent="0.2">
      <c r="D755" s="54"/>
      <c r="G755" s="54"/>
      <c r="H755" s="54"/>
      <c r="I755" s="54"/>
      <c r="J755" s="54"/>
      <c r="K755" s="54"/>
      <c r="L755" s="54"/>
      <c r="M755" s="54"/>
      <c r="O755" s="56"/>
      <c r="P755" s="54"/>
    </row>
    <row r="756" spans="4:16" x14ac:dyDescent="0.2">
      <c r="D756" s="54"/>
      <c r="G756" s="54"/>
      <c r="H756" s="54"/>
      <c r="I756" s="54"/>
      <c r="J756" s="54"/>
      <c r="K756" s="54"/>
      <c r="L756" s="54"/>
      <c r="M756" s="54"/>
      <c r="O756" s="56"/>
      <c r="P756" s="54"/>
    </row>
    <row r="757" spans="4:16" x14ac:dyDescent="0.2">
      <c r="D757" s="54"/>
      <c r="G757" s="54"/>
      <c r="H757" s="54"/>
      <c r="I757" s="54"/>
      <c r="J757" s="54"/>
      <c r="K757" s="54"/>
      <c r="L757" s="54"/>
      <c r="M757" s="54"/>
      <c r="O757" s="56"/>
      <c r="P757" s="54"/>
    </row>
    <row r="758" spans="4:16" x14ac:dyDescent="0.2">
      <c r="D758" s="54"/>
      <c r="G758" s="54"/>
      <c r="H758" s="54"/>
      <c r="I758" s="54"/>
      <c r="J758" s="54"/>
      <c r="K758" s="54"/>
      <c r="L758" s="54"/>
      <c r="M758" s="54"/>
      <c r="O758" s="56"/>
      <c r="P758" s="54"/>
    </row>
    <row r="759" spans="4:16" x14ac:dyDescent="0.2">
      <c r="D759" s="54"/>
      <c r="G759" s="54"/>
      <c r="H759" s="54"/>
      <c r="I759" s="54"/>
      <c r="J759" s="54"/>
      <c r="K759" s="54"/>
      <c r="L759" s="54"/>
      <c r="M759" s="54"/>
      <c r="O759" s="56"/>
      <c r="P759" s="54"/>
    </row>
    <row r="760" spans="4:16" x14ac:dyDescent="0.2">
      <c r="D760" s="54"/>
      <c r="G760" s="54"/>
      <c r="H760" s="54"/>
      <c r="I760" s="54"/>
      <c r="J760" s="54"/>
      <c r="K760" s="54"/>
      <c r="L760" s="54"/>
      <c r="M760" s="54"/>
      <c r="O760" s="56"/>
      <c r="P760" s="54"/>
    </row>
    <row r="761" spans="4:16" x14ac:dyDescent="0.2">
      <c r="D761" s="54"/>
      <c r="G761" s="54"/>
      <c r="H761" s="54"/>
      <c r="I761" s="54"/>
      <c r="J761" s="54"/>
      <c r="K761" s="54"/>
      <c r="L761" s="54"/>
      <c r="M761" s="54"/>
      <c r="O761" s="56"/>
      <c r="P761" s="54"/>
    </row>
    <row r="762" spans="4:16" x14ac:dyDescent="0.2">
      <c r="D762" s="54"/>
      <c r="G762" s="54"/>
      <c r="H762" s="54"/>
      <c r="I762" s="54"/>
      <c r="J762" s="54"/>
      <c r="K762" s="54"/>
      <c r="L762" s="54"/>
      <c r="M762" s="54"/>
      <c r="O762" s="56"/>
      <c r="P762" s="54"/>
    </row>
    <row r="763" spans="4:16" x14ac:dyDescent="0.2">
      <c r="D763" s="54"/>
      <c r="G763" s="54"/>
      <c r="H763" s="54"/>
      <c r="I763" s="54"/>
      <c r="J763" s="54"/>
      <c r="K763" s="54"/>
      <c r="L763" s="54"/>
      <c r="M763" s="54"/>
      <c r="O763" s="56"/>
      <c r="P763" s="54"/>
    </row>
    <row r="764" spans="4:16" x14ac:dyDescent="0.2">
      <c r="D764" s="54"/>
      <c r="G764" s="54"/>
      <c r="H764" s="54"/>
      <c r="I764" s="54"/>
      <c r="J764" s="54"/>
      <c r="K764" s="54"/>
      <c r="L764" s="54"/>
      <c r="M764" s="54"/>
      <c r="O764" s="56"/>
      <c r="P764" s="54"/>
    </row>
    <row r="765" spans="4:16" x14ac:dyDescent="0.2">
      <c r="D765" s="54"/>
      <c r="G765" s="54"/>
      <c r="H765" s="54"/>
      <c r="I765" s="54"/>
      <c r="J765" s="54"/>
      <c r="K765" s="54"/>
      <c r="L765" s="54"/>
      <c r="M765" s="54"/>
      <c r="O765" s="56"/>
      <c r="P765" s="54"/>
    </row>
    <row r="766" spans="4:16" x14ac:dyDescent="0.2">
      <c r="D766" s="54"/>
      <c r="G766" s="54"/>
      <c r="H766" s="54"/>
      <c r="I766" s="54"/>
      <c r="J766" s="54"/>
      <c r="K766" s="54"/>
      <c r="L766" s="54"/>
      <c r="M766" s="54"/>
      <c r="O766" s="56"/>
      <c r="P766" s="54"/>
    </row>
    <row r="767" spans="4:16" x14ac:dyDescent="0.2">
      <c r="D767" s="54"/>
      <c r="G767" s="54"/>
      <c r="H767" s="54"/>
      <c r="I767" s="54"/>
      <c r="J767" s="54"/>
      <c r="K767" s="54"/>
      <c r="L767" s="54"/>
      <c r="M767" s="54"/>
      <c r="O767" s="56"/>
      <c r="P767" s="54"/>
    </row>
    <row r="768" spans="4:16" x14ac:dyDescent="0.2">
      <c r="D768" s="54"/>
      <c r="G768" s="54"/>
      <c r="H768" s="54"/>
      <c r="I768" s="54"/>
      <c r="J768" s="54"/>
      <c r="K768" s="54"/>
      <c r="L768" s="54"/>
      <c r="M768" s="54"/>
      <c r="O768" s="56"/>
      <c r="P768" s="54"/>
    </row>
    <row r="769" spans="4:16" x14ac:dyDescent="0.2">
      <c r="D769" s="54"/>
      <c r="G769" s="54"/>
      <c r="H769" s="54"/>
      <c r="I769" s="54"/>
      <c r="J769" s="54"/>
      <c r="K769" s="54"/>
      <c r="L769" s="54"/>
      <c r="M769" s="54"/>
      <c r="O769" s="56"/>
      <c r="P769" s="54"/>
    </row>
    <row r="770" spans="4:16" x14ac:dyDescent="0.2">
      <c r="D770" s="54"/>
      <c r="G770" s="54"/>
      <c r="H770" s="54"/>
      <c r="I770" s="54"/>
      <c r="J770" s="54"/>
      <c r="K770" s="54"/>
      <c r="L770" s="54"/>
      <c r="M770" s="54"/>
      <c r="O770" s="56"/>
      <c r="P770" s="54"/>
    </row>
    <row r="771" spans="4:16" x14ac:dyDescent="0.2">
      <c r="D771" s="54"/>
      <c r="G771" s="54"/>
      <c r="H771" s="54"/>
      <c r="I771" s="54"/>
      <c r="J771" s="54"/>
      <c r="K771" s="54"/>
      <c r="L771" s="54"/>
      <c r="M771" s="54"/>
      <c r="O771" s="56"/>
      <c r="P771" s="54"/>
    </row>
    <row r="772" spans="4:16" x14ac:dyDescent="0.2">
      <c r="D772" s="54"/>
      <c r="G772" s="54"/>
      <c r="H772" s="54"/>
      <c r="I772" s="54"/>
      <c r="J772" s="54"/>
      <c r="K772" s="54"/>
      <c r="L772" s="54"/>
      <c r="M772" s="54"/>
      <c r="O772" s="56"/>
      <c r="P772" s="54"/>
    </row>
    <row r="773" spans="4:16" x14ac:dyDescent="0.2">
      <c r="D773" s="54"/>
      <c r="G773" s="54"/>
      <c r="H773" s="54"/>
      <c r="I773" s="54"/>
      <c r="J773" s="54"/>
      <c r="K773" s="54"/>
      <c r="L773" s="54"/>
      <c r="M773" s="54"/>
      <c r="O773" s="56"/>
      <c r="P773" s="54"/>
    </row>
    <row r="774" spans="4:16" x14ac:dyDescent="0.2">
      <c r="D774" s="54"/>
      <c r="G774" s="54"/>
      <c r="H774" s="54"/>
      <c r="I774" s="54"/>
      <c r="J774" s="54"/>
      <c r="K774" s="54"/>
      <c r="L774" s="54"/>
      <c r="M774" s="54"/>
      <c r="O774" s="56"/>
      <c r="P774" s="54"/>
    </row>
    <row r="775" spans="4:16" x14ac:dyDescent="0.2">
      <c r="D775" s="54"/>
      <c r="G775" s="54"/>
      <c r="H775" s="54"/>
      <c r="I775" s="54"/>
      <c r="J775" s="54"/>
      <c r="K775" s="54"/>
      <c r="L775" s="54"/>
      <c r="M775" s="54"/>
      <c r="O775" s="56"/>
      <c r="P775" s="54"/>
    </row>
    <row r="776" spans="4:16" x14ac:dyDescent="0.2">
      <c r="D776" s="54"/>
      <c r="G776" s="54"/>
      <c r="H776" s="54"/>
      <c r="I776" s="54"/>
      <c r="J776" s="54"/>
      <c r="K776" s="54"/>
      <c r="L776" s="54"/>
      <c r="M776" s="54"/>
      <c r="O776" s="56"/>
      <c r="P776" s="54"/>
    </row>
    <row r="777" spans="4:16" x14ac:dyDescent="0.2">
      <c r="D777" s="54"/>
      <c r="G777" s="54"/>
      <c r="H777" s="54"/>
      <c r="I777" s="54"/>
      <c r="J777" s="54"/>
      <c r="K777" s="54"/>
      <c r="L777" s="54"/>
      <c r="M777" s="54"/>
      <c r="O777" s="56"/>
      <c r="P777" s="54"/>
    </row>
    <row r="778" spans="4:16" x14ac:dyDescent="0.2">
      <c r="D778" s="54"/>
      <c r="G778" s="54"/>
      <c r="H778" s="54"/>
      <c r="I778" s="54"/>
      <c r="J778" s="54"/>
      <c r="K778" s="54"/>
      <c r="L778" s="54"/>
      <c r="M778" s="54"/>
      <c r="O778" s="56"/>
      <c r="P778" s="54"/>
    </row>
    <row r="779" spans="4:16" x14ac:dyDescent="0.2">
      <c r="D779" s="54"/>
      <c r="G779" s="54"/>
      <c r="H779" s="54"/>
      <c r="I779" s="54"/>
      <c r="J779" s="54"/>
      <c r="K779" s="54"/>
      <c r="L779" s="54"/>
      <c r="M779" s="54"/>
      <c r="O779" s="56"/>
      <c r="P779" s="54"/>
    </row>
    <row r="780" spans="4:16" x14ac:dyDescent="0.2">
      <c r="D780" s="54"/>
      <c r="G780" s="54"/>
      <c r="H780" s="54"/>
      <c r="I780" s="54"/>
      <c r="J780" s="54"/>
      <c r="K780" s="54"/>
      <c r="L780" s="54"/>
      <c r="M780" s="54"/>
      <c r="O780" s="56"/>
      <c r="P780" s="54"/>
    </row>
    <row r="781" spans="4:16" x14ac:dyDescent="0.2">
      <c r="D781" s="54"/>
      <c r="G781" s="54"/>
      <c r="H781" s="54"/>
      <c r="I781" s="54"/>
      <c r="J781" s="54"/>
      <c r="K781" s="54"/>
      <c r="L781" s="54"/>
      <c r="M781" s="54"/>
      <c r="O781" s="56"/>
      <c r="P781" s="54"/>
    </row>
    <row r="782" spans="4:16" x14ac:dyDescent="0.2">
      <c r="D782" s="54"/>
      <c r="G782" s="54"/>
      <c r="H782" s="54"/>
      <c r="I782" s="54"/>
      <c r="J782" s="54"/>
      <c r="K782" s="54"/>
      <c r="L782" s="54"/>
      <c r="M782" s="54"/>
      <c r="O782" s="56"/>
      <c r="P782" s="54"/>
    </row>
    <row r="783" spans="4:16" x14ac:dyDescent="0.2">
      <c r="D783" s="54"/>
      <c r="G783" s="54"/>
      <c r="H783" s="54"/>
      <c r="I783" s="54"/>
      <c r="J783" s="54"/>
      <c r="K783" s="54"/>
      <c r="L783" s="54"/>
      <c r="M783" s="54"/>
      <c r="O783" s="56"/>
      <c r="P783" s="54"/>
    </row>
    <row r="784" spans="4:16" x14ac:dyDescent="0.2">
      <c r="D784" s="54"/>
      <c r="G784" s="54"/>
      <c r="H784" s="54"/>
      <c r="I784" s="54"/>
      <c r="J784" s="54"/>
      <c r="K784" s="54"/>
      <c r="L784" s="54"/>
      <c r="M784" s="54"/>
      <c r="O784" s="56"/>
      <c r="P784" s="54"/>
    </row>
    <row r="785" spans="4:16" x14ac:dyDescent="0.2">
      <c r="D785" s="54"/>
      <c r="G785" s="54"/>
      <c r="H785" s="54"/>
      <c r="I785" s="54"/>
      <c r="J785" s="54"/>
      <c r="K785" s="54"/>
      <c r="L785" s="54"/>
      <c r="M785" s="54"/>
      <c r="O785" s="56"/>
      <c r="P785" s="54"/>
    </row>
    <row r="786" spans="4:16" x14ac:dyDescent="0.2">
      <c r="D786" s="54"/>
      <c r="G786" s="54"/>
      <c r="H786" s="54"/>
      <c r="I786" s="54"/>
      <c r="J786" s="54"/>
      <c r="K786" s="54"/>
      <c r="L786" s="54"/>
      <c r="M786" s="54"/>
      <c r="O786" s="56"/>
      <c r="P786" s="54"/>
    </row>
    <row r="787" spans="4:16" x14ac:dyDescent="0.2">
      <c r="D787" s="54"/>
      <c r="G787" s="54"/>
      <c r="H787" s="54"/>
      <c r="I787" s="54"/>
      <c r="J787" s="54"/>
      <c r="K787" s="54"/>
      <c r="L787" s="54"/>
      <c r="M787" s="54"/>
      <c r="O787" s="56"/>
      <c r="P787" s="54"/>
    </row>
    <row r="788" spans="4:16" x14ac:dyDescent="0.2">
      <c r="D788" s="54"/>
      <c r="G788" s="54"/>
      <c r="H788" s="54"/>
      <c r="I788" s="54"/>
      <c r="J788" s="54"/>
      <c r="K788" s="54"/>
      <c r="L788" s="54"/>
      <c r="M788" s="54"/>
      <c r="O788" s="56"/>
      <c r="P788" s="54"/>
    </row>
    <row r="789" spans="4:16" x14ac:dyDescent="0.2">
      <c r="D789" s="54"/>
      <c r="G789" s="54"/>
      <c r="H789" s="54"/>
      <c r="I789" s="54"/>
      <c r="J789" s="54"/>
      <c r="K789" s="54"/>
      <c r="L789" s="54"/>
      <c r="M789" s="54"/>
      <c r="O789" s="56"/>
      <c r="P789" s="54"/>
    </row>
    <row r="790" spans="4:16" x14ac:dyDescent="0.2">
      <c r="D790" s="54"/>
      <c r="G790" s="54"/>
      <c r="H790" s="54"/>
      <c r="I790" s="54"/>
      <c r="J790" s="54"/>
      <c r="K790" s="54"/>
      <c r="L790" s="54"/>
      <c r="M790" s="54"/>
      <c r="O790" s="56"/>
      <c r="P790" s="54"/>
    </row>
    <row r="791" spans="4:16" x14ac:dyDescent="0.2">
      <c r="D791" s="54"/>
      <c r="G791" s="54"/>
      <c r="H791" s="54"/>
      <c r="I791" s="54"/>
      <c r="J791" s="54"/>
      <c r="K791" s="54"/>
      <c r="L791" s="54"/>
      <c r="M791" s="54"/>
      <c r="O791" s="56"/>
      <c r="P791" s="54"/>
    </row>
    <row r="792" spans="4:16" x14ac:dyDescent="0.2">
      <c r="D792" s="54"/>
      <c r="G792" s="54"/>
      <c r="H792" s="54"/>
      <c r="I792" s="54"/>
      <c r="J792" s="54"/>
      <c r="K792" s="54"/>
      <c r="L792" s="54"/>
      <c r="M792" s="54"/>
      <c r="O792" s="56"/>
      <c r="P792" s="54"/>
    </row>
    <row r="793" spans="4:16" x14ac:dyDescent="0.2">
      <c r="D793" s="54"/>
      <c r="G793" s="54"/>
      <c r="H793" s="54"/>
      <c r="I793" s="54"/>
      <c r="J793" s="54"/>
      <c r="K793" s="54"/>
      <c r="L793" s="54"/>
      <c r="M793" s="54"/>
      <c r="O793" s="56"/>
      <c r="P793" s="54"/>
    </row>
    <row r="794" spans="4:16" x14ac:dyDescent="0.2">
      <c r="D794" s="54"/>
      <c r="G794" s="54"/>
      <c r="H794" s="54"/>
      <c r="I794" s="54"/>
      <c r="J794" s="54"/>
      <c r="K794" s="54"/>
      <c r="L794" s="54"/>
      <c r="M794" s="54"/>
      <c r="O794" s="56"/>
      <c r="P794" s="54"/>
    </row>
    <row r="795" spans="4:16" x14ac:dyDescent="0.2">
      <c r="D795" s="54"/>
      <c r="G795" s="54"/>
      <c r="H795" s="54"/>
      <c r="I795" s="54"/>
      <c r="J795" s="54"/>
      <c r="K795" s="54"/>
      <c r="L795" s="54"/>
      <c r="M795" s="54"/>
      <c r="O795" s="56"/>
      <c r="P795" s="54"/>
    </row>
    <row r="796" spans="4:16" x14ac:dyDescent="0.2">
      <c r="D796" s="54"/>
      <c r="G796" s="54"/>
      <c r="H796" s="54"/>
      <c r="I796" s="54"/>
      <c r="J796" s="54"/>
      <c r="K796" s="54"/>
      <c r="L796" s="54"/>
      <c r="M796" s="54"/>
      <c r="O796" s="56"/>
      <c r="P796" s="54"/>
    </row>
    <row r="797" spans="4:16" x14ac:dyDescent="0.2">
      <c r="D797" s="54"/>
      <c r="G797" s="54"/>
      <c r="H797" s="54"/>
      <c r="I797" s="54"/>
      <c r="J797" s="54"/>
      <c r="K797" s="54"/>
      <c r="L797" s="54"/>
      <c r="M797" s="54"/>
      <c r="O797" s="56"/>
      <c r="P797" s="54"/>
    </row>
    <row r="798" spans="4:16" x14ac:dyDescent="0.2">
      <c r="D798" s="54"/>
      <c r="G798" s="54"/>
      <c r="H798" s="54"/>
      <c r="I798" s="54"/>
      <c r="J798" s="54"/>
      <c r="K798" s="54"/>
      <c r="L798" s="54"/>
      <c r="M798" s="54"/>
      <c r="O798" s="56"/>
      <c r="P798" s="54"/>
    </row>
    <row r="799" spans="4:16" x14ac:dyDescent="0.2">
      <c r="D799" s="54"/>
      <c r="G799" s="54"/>
      <c r="H799" s="54"/>
      <c r="I799" s="54"/>
      <c r="J799" s="54"/>
      <c r="K799" s="54"/>
      <c r="L799" s="54"/>
      <c r="M799" s="54"/>
      <c r="O799" s="56"/>
      <c r="P799" s="54"/>
    </row>
    <row r="800" spans="4:16" x14ac:dyDescent="0.2">
      <c r="D800" s="54"/>
      <c r="G800" s="54"/>
      <c r="H800" s="54"/>
      <c r="I800" s="54"/>
      <c r="J800" s="54"/>
      <c r="K800" s="54"/>
      <c r="L800" s="54"/>
      <c r="M800" s="54"/>
      <c r="O800" s="56"/>
      <c r="P800" s="54"/>
    </row>
    <row r="801" spans="4:16" x14ac:dyDescent="0.2">
      <c r="D801" s="54"/>
      <c r="G801" s="54"/>
      <c r="H801" s="54"/>
      <c r="I801" s="54"/>
      <c r="J801" s="54"/>
      <c r="K801" s="54"/>
      <c r="L801" s="54"/>
      <c r="M801" s="54"/>
      <c r="O801" s="56"/>
      <c r="P801" s="54"/>
    </row>
    <row r="802" spans="4:16" x14ac:dyDescent="0.2">
      <c r="D802" s="54"/>
      <c r="G802" s="54"/>
      <c r="H802" s="54"/>
      <c r="I802" s="54"/>
      <c r="J802" s="54"/>
      <c r="K802" s="54"/>
      <c r="L802" s="54"/>
      <c r="M802" s="54"/>
      <c r="O802" s="56"/>
      <c r="P802" s="54"/>
    </row>
    <row r="803" spans="4:16" x14ac:dyDescent="0.2">
      <c r="D803" s="54"/>
      <c r="G803" s="54"/>
      <c r="H803" s="54"/>
      <c r="I803" s="54"/>
      <c r="J803" s="54"/>
      <c r="K803" s="54"/>
      <c r="L803" s="54"/>
      <c r="M803" s="54"/>
      <c r="O803" s="56"/>
      <c r="P803" s="54"/>
    </row>
    <row r="804" spans="4:16" x14ac:dyDescent="0.2">
      <c r="D804" s="54"/>
      <c r="G804" s="54"/>
      <c r="H804" s="54"/>
      <c r="I804" s="54"/>
      <c r="J804" s="54"/>
      <c r="K804" s="54"/>
      <c r="L804" s="54"/>
      <c r="M804" s="54"/>
      <c r="O804" s="56"/>
      <c r="P804" s="54"/>
    </row>
    <row r="805" spans="4:16" x14ac:dyDescent="0.2">
      <c r="D805" s="54"/>
      <c r="G805" s="54"/>
      <c r="H805" s="54"/>
      <c r="I805" s="54"/>
      <c r="J805" s="54"/>
      <c r="K805" s="54"/>
      <c r="L805" s="54"/>
      <c r="M805" s="54"/>
      <c r="O805" s="56"/>
      <c r="P805" s="54"/>
    </row>
    <row r="806" spans="4:16" x14ac:dyDescent="0.2">
      <c r="D806" s="54"/>
      <c r="G806" s="54"/>
      <c r="H806" s="54"/>
      <c r="I806" s="54"/>
      <c r="J806" s="54"/>
      <c r="K806" s="54"/>
      <c r="L806" s="54"/>
      <c r="M806" s="54"/>
      <c r="O806" s="56"/>
      <c r="P806" s="54"/>
    </row>
    <row r="807" spans="4:16" x14ac:dyDescent="0.2">
      <c r="D807" s="54"/>
      <c r="G807" s="54"/>
      <c r="H807" s="54"/>
      <c r="I807" s="54"/>
      <c r="J807" s="54"/>
      <c r="K807" s="54"/>
      <c r="L807" s="54"/>
      <c r="M807" s="54"/>
      <c r="O807" s="56"/>
      <c r="P807" s="54"/>
    </row>
    <row r="808" spans="4:16" x14ac:dyDescent="0.2">
      <c r="D808" s="54"/>
      <c r="G808" s="54"/>
      <c r="H808" s="54"/>
      <c r="I808" s="54"/>
      <c r="J808" s="54"/>
      <c r="K808" s="54"/>
      <c r="L808" s="54"/>
      <c r="M808" s="54"/>
      <c r="O808" s="56"/>
      <c r="P808" s="54"/>
    </row>
    <row r="809" spans="4:16" x14ac:dyDescent="0.2">
      <c r="D809" s="54"/>
      <c r="G809" s="54"/>
      <c r="H809" s="54"/>
      <c r="I809" s="54"/>
      <c r="J809" s="54"/>
      <c r="K809" s="54"/>
      <c r="L809" s="54"/>
      <c r="M809" s="54"/>
      <c r="O809" s="56"/>
      <c r="P809" s="54"/>
    </row>
    <row r="810" spans="4:16" x14ac:dyDescent="0.2">
      <c r="D810" s="54"/>
      <c r="G810" s="54"/>
      <c r="H810" s="54"/>
      <c r="I810" s="54"/>
      <c r="J810" s="54"/>
      <c r="K810" s="54"/>
      <c r="L810" s="54"/>
      <c r="M810" s="54"/>
      <c r="O810" s="56"/>
      <c r="P810" s="54"/>
    </row>
    <row r="811" spans="4:16" x14ac:dyDescent="0.2">
      <c r="D811" s="54"/>
      <c r="G811" s="54"/>
      <c r="H811" s="54"/>
      <c r="I811" s="54"/>
      <c r="J811" s="54"/>
      <c r="K811" s="54"/>
      <c r="L811" s="54"/>
      <c r="M811" s="54"/>
      <c r="O811" s="56"/>
      <c r="P811" s="54"/>
    </row>
    <row r="812" spans="4:16" x14ac:dyDescent="0.2">
      <c r="D812" s="54"/>
      <c r="G812" s="54"/>
      <c r="H812" s="54"/>
      <c r="I812" s="54"/>
      <c r="J812" s="54"/>
      <c r="K812" s="54"/>
      <c r="L812" s="54"/>
      <c r="M812" s="54"/>
      <c r="O812" s="56"/>
      <c r="P812" s="54"/>
    </row>
    <row r="813" spans="4:16" x14ac:dyDescent="0.2">
      <c r="D813" s="54"/>
      <c r="G813" s="54"/>
      <c r="H813" s="54"/>
      <c r="I813" s="54"/>
      <c r="J813" s="54"/>
      <c r="K813" s="54"/>
      <c r="L813" s="54"/>
      <c r="M813" s="54"/>
      <c r="O813" s="56"/>
      <c r="P813" s="54"/>
    </row>
    <row r="814" spans="4:16" x14ac:dyDescent="0.2">
      <c r="D814" s="54"/>
      <c r="G814" s="54"/>
      <c r="H814" s="54"/>
      <c r="I814" s="54"/>
      <c r="J814" s="54"/>
      <c r="K814" s="54"/>
      <c r="L814" s="54"/>
      <c r="M814" s="54"/>
      <c r="O814" s="56"/>
      <c r="P814" s="54"/>
    </row>
    <row r="815" spans="4:16" x14ac:dyDescent="0.2">
      <c r="D815" s="54"/>
      <c r="G815" s="54"/>
      <c r="H815" s="54"/>
      <c r="I815" s="54"/>
      <c r="J815" s="54"/>
      <c r="K815" s="54"/>
      <c r="L815" s="54"/>
      <c r="M815" s="54"/>
      <c r="O815" s="56"/>
      <c r="P815" s="54"/>
    </row>
    <row r="816" spans="4:16" x14ac:dyDescent="0.2">
      <c r="D816" s="54"/>
      <c r="G816" s="54"/>
      <c r="H816" s="54"/>
      <c r="I816" s="54"/>
      <c r="J816" s="54"/>
      <c r="K816" s="54"/>
      <c r="L816" s="54"/>
      <c r="M816" s="54"/>
      <c r="O816" s="56"/>
      <c r="P816" s="54"/>
    </row>
    <row r="817" spans="4:16" x14ac:dyDescent="0.2">
      <c r="D817" s="54"/>
      <c r="G817" s="54"/>
      <c r="H817" s="54"/>
      <c r="I817" s="54"/>
      <c r="J817" s="54"/>
      <c r="K817" s="54"/>
      <c r="L817" s="54"/>
      <c r="M817" s="54"/>
      <c r="O817" s="56"/>
      <c r="P817" s="54"/>
    </row>
    <row r="818" spans="4:16" x14ac:dyDescent="0.2">
      <c r="D818" s="54"/>
      <c r="G818" s="54"/>
      <c r="H818" s="54"/>
      <c r="I818" s="54"/>
      <c r="J818" s="54"/>
      <c r="K818" s="54"/>
      <c r="L818" s="54"/>
      <c r="M818" s="54"/>
      <c r="O818" s="56"/>
      <c r="P818" s="54"/>
    </row>
    <row r="819" spans="4:16" x14ac:dyDescent="0.2">
      <c r="D819" s="54"/>
      <c r="G819" s="54"/>
      <c r="H819" s="54"/>
      <c r="I819" s="54"/>
      <c r="J819" s="54"/>
      <c r="K819" s="54"/>
      <c r="L819" s="54"/>
      <c r="M819" s="54"/>
      <c r="O819" s="56"/>
      <c r="P819" s="54"/>
    </row>
    <row r="820" spans="4:16" x14ac:dyDescent="0.2">
      <c r="D820" s="54"/>
      <c r="G820" s="54"/>
      <c r="H820" s="54"/>
      <c r="I820" s="54"/>
      <c r="J820" s="54"/>
      <c r="K820" s="54"/>
      <c r="L820" s="54"/>
      <c r="M820" s="54"/>
      <c r="O820" s="56"/>
      <c r="P820" s="54"/>
    </row>
    <row r="821" spans="4:16" x14ac:dyDescent="0.2">
      <c r="D821" s="54"/>
      <c r="G821" s="54"/>
      <c r="H821" s="54"/>
      <c r="I821" s="54"/>
      <c r="J821" s="54"/>
      <c r="K821" s="54"/>
      <c r="L821" s="54"/>
      <c r="M821" s="54"/>
      <c r="O821" s="56"/>
      <c r="P821" s="54"/>
    </row>
    <row r="822" spans="4:16" x14ac:dyDescent="0.2">
      <c r="D822" s="54"/>
      <c r="G822" s="54"/>
      <c r="H822" s="54"/>
      <c r="I822" s="54"/>
      <c r="J822" s="54"/>
      <c r="K822" s="54"/>
      <c r="L822" s="54"/>
      <c r="M822" s="54"/>
      <c r="O822" s="56"/>
      <c r="P822" s="54"/>
    </row>
    <row r="823" spans="4:16" x14ac:dyDescent="0.2">
      <c r="D823" s="54"/>
      <c r="G823" s="54"/>
      <c r="H823" s="54"/>
      <c r="I823" s="54"/>
      <c r="J823" s="54"/>
      <c r="K823" s="54"/>
      <c r="L823" s="54"/>
      <c r="M823" s="54"/>
      <c r="O823" s="56"/>
      <c r="P823" s="54"/>
    </row>
    <row r="824" spans="4:16" x14ac:dyDescent="0.2">
      <c r="D824" s="54"/>
      <c r="G824" s="54"/>
      <c r="H824" s="54"/>
      <c r="I824" s="54"/>
      <c r="J824" s="54"/>
      <c r="K824" s="54"/>
      <c r="L824" s="54"/>
      <c r="M824" s="54"/>
      <c r="O824" s="56"/>
      <c r="P824" s="54"/>
    </row>
    <row r="825" spans="4:16" x14ac:dyDescent="0.2">
      <c r="D825" s="54"/>
      <c r="G825" s="54"/>
      <c r="H825" s="54"/>
      <c r="I825" s="54"/>
      <c r="J825" s="54"/>
      <c r="K825" s="54"/>
      <c r="L825" s="54"/>
      <c r="M825" s="54"/>
      <c r="O825" s="56"/>
      <c r="P825" s="54"/>
    </row>
    <row r="826" spans="4:16" x14ac:dyDescent="0.2">
      <c r="D826" s="54"/>
      <c r="G826" s="54"/>
      <c r="H826" s="54"/>
      <c r="I826" s="54"/>
      <c r="J826" s="54"/>
      <c r="K826" s="54"/>
      <c r="L826" s="54"/>
      <c r="M826" s="54"/>
      <c r="O826" s="56"/>
      <c r="P826" s="54"/>
    </row>
    <row r="827" spans="4:16" x14ac:dyDescent="0.2">
      <c r="D827" s="54"/>
      <c r="G827" s="54"/>
      <c r="H827" s="54"/>
      <c r="I827" s="54"/>
      <c r="J827" s="54"/>
      <c r="K827" s="54"/>
      <c r="L827" s="54"/>
      <c r="M827" s="54"/>
      <c r="O827" s="56"/>
      <c r="P827" s="54"/>
    </row>
    <row r="828" spans="4:16" x14ac:dyDescent="0.2">
      <c r="D828" s="54"/>
      <c r="G828" s="54"/>
      <c r="H828" s="54"/>
      <c r="I828" s="54"/>
      <c r="J828" s="54"/>
      <c r="K828" s="54"/>
      <c r="L828" s="54"/>
      <c r="M828" s="54"/>
      <c r="O828" s="56"/>
      <c r="P828" s="54"/>
    </row>
    <row r="829" spans="4:16" x14ac:dyDescent="0.2">
      <c r="D829" s="54"/>
      <c r="G829" s="54"/>
      <c r="H829" s="54"/>
      <c r="I829" s="54"/>
      <c r="J829" s="54"/>
      <c r="K829" s="54"/>
      <c r="L829" s="54"/>
      <c r="M829" s="54"/>
      <c r="O829" s="56"/>
      <c r="P829" s="54"/>
    </row>
    <row r="830" spans="4:16" x14ac:dyDescent="0.2">
      <c r="D830" s="54"/>
      <c r="G830" s="54"/>
      <c r="H830" s="54"/>
      <c r="I830" s="54"/>
      <c r="J830" s="54"/>
      <c r="K830" s="54"/>
      <c r="L830" s="54"/>
      <c r="M830" s="54"/>
      <c r="O830" s="56"/>
      <c r="P830" s="54"/>
    </row>
    <row r="831" spans="4:16" x14ac:dyDescent="0.2">
      <c r="D831" s="54"/>
      <c r="G831" s="54"/>
      <c r="H831" s="54"/>
      <c r="I831" s="54"/>
      <c r="J831" s="54"/>
      <c r="K831" s="54"/>
      <c r="L831" s="54"/>
      <c r="M831" s="54"/>
      <c r="O831" s="56"/>
      <c r="P831" s="54"/>
    </row>
    <row r="832" spans="4:16" x14ac:dyDescent="0.2">
      <c r="D832" s="54"/>
      <c r="G832" s="54"/>
      <c r="H832" s="54"/>
      <c r="I832" s="54"/>
      <c r="J832" s="54"/>
      <c r="K832" s="54"/>
      <c r="L832" s="54"/>
      <c r="M832" s="54"/>
      <c r="O832" s="56"/>
      <c r="P832" s="54"/>
    </row>
    <row r="833" spans="4:16" x14ac:dyDescent="0.2">
      <c r="D833" s="54"/>
      <c r="G833" s="54"/>
      <c r="H833" s="54"/>
      <c r="I833" s="54"/>
      <c r="J833" s="54"/>
      <c r="K833" s="54"/>
      <c r="L833" s="54"/>
      <c r="M833" s="54"/>
      <c r="O833" s="56"/>
      <c r="P833" s="54"/>
    </row>
    <row r="834" spans="4:16" x14ac:dyDescent="0.2">
      <c r="D834" s="54"/>
      <c r="G834" s="54"/>
      <c r="H834" s="54"/>
      <c r="I834" s="54"/>
      <c r="J834" s="54"/>
      <c r="K834" s="54"/>
      <c r="L834" s="54"/>
      <c r="M834" s="54"/>
      <c r="O834" s="56"/>
      <c r="P834" s="54"/>
    </row>
    <row r="835" spans="4:16" x14ac:dyDescent="0.2">
      <c r="D835" s="54"/>
      <c r="G835" s="54"/>
      <c r="H835" s="54"/>
      <c r="I835" s="54"/>
      <c r="J835" s="54"/>
      <c r="K835" s="54"/>
      <c r="L835" s="54"/>
      <c r="M835" s="54"/>
      <c r="O835" s="56"/>
      <c r="P835" s="54"/>
    </row>
    <row r="836" spans="4:16" x14ac:dyDescent="0.2">
      <c r="D836" s="54"/>
      <c r="G836" s="54"/>
      <c r="H836" s="54"/>
      <c r="I836" s="54"/>
      <c r="J836" s="54"/>
      <c r="K836" s="54"/>
      <c r="L836" s="54"/>
      <c r="M836" s="54"/>
      <c r="O836" s="56"/>
      <c r="P836" s="54"/>
    </row>
    <row r="837" spans="4:16" x14ac:dyDescent="0.2">
      <c r="D837" s="54"/>
      <c r="G837" s="54"/>
      <c r="H837" s="54"/>
      <c r="I837" s="54"/>
      <c r="J837" s="54"/>
      <c r="K837" s="54"/>
      <c r="L837" s="54"/>
      <c r="M837" s="54"/>
      <c r="O837" s="56"/>
      <c r="P837" s="54"/>
    </row>
    <row r="838" spans="4:16" x14ac:dyDescent="0.2">
      <c r="D838" s="54"/>
      <c r="G838" s="54"/>
      <c r="H838" s="54"/>
      <c r="I838" s="54"/>
      <c r="J838" s="54"/>
      <c r="K838" s="54"/>
      <c r="L838" s="54"/>
      <c r="M838" s="54"/>
      <c r="O838" s="56"/>
      <c r="P838" s="54"/>
    </row>
    <row r="839" spans="4:16" x14ac:dyDescent="0.2">
      <c r="D839" s="54"/>
      <c r="G839" s="54"/>
      <c r="H839" s="54"/>
      <c r="I839" s="54"/>
      <c r="J839" s="54"/>
      <c r="K839" s="54"/>
      <c r="L839" s="54"/>
      <c r="M839" s="54"/>
      <c r="O839" s="56"/>
      <c r="P839" s="54"/>
    </row>
    <row r="840" spans="4:16" x14ac:dyDescent="0.2">
      <c r="D840" s="54"/>
      <c r="G840" s="54"/>
      <c r="H840" s="54"/>
      <c r="I840" s="54"/>
      <c r="J840" s="54"/>
      <c r="K840" s="54"/>
      <c r="L840" s="54"/>
      <c r="M840" s="54"/>
      <c r="O840" s="56"/>
      <c r="P840" s="54"/>
    </row>
    <row r="841" spans="4:16" x14ac:dyDescent="0.2">
      <c r="D841" s="54"/>
      <c r="G841" s="54"/>
      <c r="H841" s="54"/>
      <c r="I841" s="54"/>
      <c r="J841" s="54"/>
      <c r="K841" s="54"/>
      <c r="L841" s="54"/>
      <c r="M841" s="54"/>
      <c r="O841" s="56"/>
      <c r="P841" s="54"/>
    </row>
    <row r="842" spans="4:16" x14ac:dyDescent="0.2">
      <c r="D842" s="54"/>
      <c r="G842" s="54"/>
      <c r="H842" s="54"/>
      <c r="I842" s="54"/>
      <c r="J842" s="54"/>
      <c r="K842" s="54"/>
      <c r="L842" s="54"/>
      <c r="M842" s="54"/>
      <c r="O842" s="56"/>
      <c r="P842" s="54"/>
    </row>
    <row r="843" spans="4:16" x14ac:dyDescent="0.2">
      <c r="D843" s="54"/>
      <c r="G843" s="54"/>
      <c r="H843" s="54"/>
      <c r="I843" s="54"/>
      <c r="J843" s="54"/>
      <c r="K843" s="54"/>
      <c r="L843" s="54"/>
      <c r="M843" s="54"/>
      <c r="O843" s="56"/>
      <c r="P843" s="54"/>
    </row>
    <row r="844" spans="4:16" x14ac:dyDescent="0.2">
      <c r="D844" s="54"/>
      <c r="G844" s="54"/>
      <c r="H844" s="54"/>
      <c r="I844" s="54"/>
      <c r="J844" s="54"/>
      <c r="K844" s="54"/>
      <c r="L844" s="54"/>
      <c r="M844" s="54"/>
      <c r="O844" s="56"/>
      <c r="P844" s="54"/>
    </row>
    <row r="845" spans="4:16" x14ac:dyDescent="0.2">
      <c r="D845" s="54"/>
      <c r="G845" s="54"/>
      <c r="H845" s="54"/>
      <c r="I845" s="54"/>
      <c r="J845" s="54"/>
      <c r="K845" s="54"/>
      <c r="L845" s="54"/>
      <c r="M845" s="54"/>
      <c r="O845" s="56"/>
      <c r="P845" s="54"/>
    </row>
    <row r="846" spans="4:16" x14ac:dyDescent="0.2">
      <c r="D846" s="54"/>
      <c r="G846" s="54"/>
      <c r="H846" s="54"/>
      <c r="I846" s="54"/>
      <c r="J846" s="54"/>
      <c r="K846" s="54"/>
      <c r="L846" s="54"/>
      <c r="M846" s="54"/>
      <c r="O846" s="56"/>
      <c r="P846" s="54"/>
    </row>
    <row r="847" spans="4:16" x14ac:dyDescent="0.2">
      <c r="D847" s="54"/>
      <c r="G847" s="54"/>
      <c r="H847" s="54"/>
      <c r="I847" s="54"/>
      <c r="J847" s="54"/>
      <c r="K847" s="54"/>
      <c r="L847" s="54"/>
      <c r="M847" s="54"/>
      <c r="O847" s="56"/>
      <c r="P847" s="54"/>
    </row>
    <row r="848" spans="4:16" x14ac:dyDescent="0.2">
      <c r="D848" s="54"/>
      <c r="G848" s="54"/>
      <c r="H848" s="54"/>
      <c r="I848" s="54"/>
      <c r="J848" s="54"/>
      <c r="K848" s="54"/>
      <c r="L848" s="54"/>
      <c r="M848" s="54"/>
      <c r="O848" s="56"/>
      <c r="P848" s="54"/>
    </row>
    <row r="849" spans="4:16" x14ac:dyDescent="0.2">
      <c r="D849" s="54"/>
      <c r="G849" s="54"/>
      <c r="H849" s="54"/>
      <c r="I849" s="54"/>
      <c r="J849" s="54"/>
      <c r="K849" s="54"/>
      <c r="L849" s="54"/>
      <c r="M849" s="54"/>
      <c r="O849" s="56"/>
      <c r="P849" s="54"/>
    </row>
    <row r="850" spans="4:16" x14ac:dyDescent="0.2">
      <c r="D850" s="54"/>
      <c r="G850" s="54"/>
      <c r="H850" s="54"/>
      <c r="I850" s="54"/>
      <c r="J850" s="54"/>
      <c r="K850" s="54"/>
      <c r="L850" s="54"/>
      <c r="M850" s="54"/>
      <c r="O850" s="56"/>
      <c r="P850" s="54"/>
    </row>
    <row r="851" spans="4:16" x14ac:dyDescent="0.2">
      <c r="D851" s="54"/>
      <c r="G851" s="54"/>
      <c r="H851" s="54"/>
      <c r="I851" s="54"/>
      <c r="J851" s="54"/>
      <c r="K851" s="54"/>
      <c r="L851" s="54"/>
      <c r="M851" s="54"/>
      <c r="O851" s="56"/>
      <c r="P851" s="54"/>
    </row>
    <row r="852" spans="4:16" x14ac:dyDescent="0.2">
      <c r="D852" s="54"/>
      <c r="G852" s="54"/>
      <c r="H852" s="54"/>
      <c r="I852" s="54"/>
      <c r="J852" s="54"/>
      <c r="K852" s="54"/>
      <c r="L852" s="54"/>
      <c r="M852" s="54"/>
      <c r="O852" s="56"/>
      <c r="P852" s="54"/>
    </row>
    <row r="853" spans="4:16" x14ac:dyDescent="0.2">
      <c r="D853" s="54"/>
      <c r="G853" s="54"/>
      <c r="H853" s="54"/>
      <c r="I853" s="54"/>
      <c r="J853" s="54"/>
      <c r="K853" s="54"/>
      <c r="L853" s="54"/>
      <c r="M853" s="54"/>
      <c r="O853" s="56"/>
      <c r="P853" s="54"/>
    </row>
    <row r="854" spans="4:16" x14ac:dyDescent="0.2">
      <c r="D854" s="54"/>
      <c r="G854" s="54"/>
      <c r="H854" s="54"/>
      <c r="I854" s="54"/>
      <c r="J854" s="54"/>
      <c r="K854" s="54"/>
      <c r="L854" s="54"/>
      <c r="M854" s="54"/>
      <c r="O854" s="56"/>
      <c r="P854" s="54"/>
    </row>
    <row r="855" spans="4:16" x14ac:dyDescent="0.2">
      <c r="D855" s="54"/>
      <c r="G855" s="54"/>
      <c r="H855" s="54"/>
      <c r="I855" s="54"/>
      <c r="J855" s="54"/>
      <c r="K855" s="54"/>
      <c r="L855" s="54"/>
      <c r="M855" s="54"/>
      <c r="O855" s="56"/>
      <c r="P855" s="54"/>
    </row>
    <row r="856" spans="4:16" x14ac:dyDescent="0.2">
      <c r="D856" s="54"/>
      <c r="G856" s="54"/>
      <c r="H856" s="54"/>
      <c r="I856" s="54"/>
      <c r="J856" s="54"/>
      <c r="K856" s="54"/>
      <c r="L856" s="54"/>
      <c r="M856" s="54"/>
      <c r="O856" s="56"/>
      <c r="P856" s="54"/>
    </row>
    <row r="857" spans="4:16" x14ac:dyDescent="0.2">
      <c r="D857" s="54"/>
      <c r="G857" s="54"/>
      <c r="H857" s="54"/>
      <c r="I857" s="54"/>
      <c r="J857" s="54"/>
      <c r="K857" s="54"/>
      <c r="L857" s="54"/>
      <c r="M857" s="54"/>
      <c r="O857" s="56"/>
      <c r="P857" s="54"/>
    </row>
    <row r="858" spans="4:16" x14ac:dyDescent="0.2">
      <c r="D858" s="54"/>
      <c r="G858" s="54"/>
      <c r="H858" s="54"/>
      <c r="I858" s="54"/>
      <c r="J858" s="54"/>
      <c r="K858" s="54"/>
      <c r="L858" s="54"/>
      <c r="M858" s="54"/>
      <c r="O858" s="56"/>
      <c r="P858" s="54"/>
    </row>
    <row r="859" spans="4:16" x14ac:dyDescent="0.2">
      <c r="D859" s="54"/>
      <c r="G859" s="54"/>
      <c r="H859" s="54"/>
      <c r="I859" s="54"/>
      <c r="J859" s="54"/>
      <c r="K859" s="54"/>
      <c r="L859" s="54"/>
      <c r="M859" s="54"/>
      <c r="O859" s="56"/>
      <c r="P859" s="54"/>
    </row>
    <row r="860" spans="4:16" x14ac:dyDescent="0.2">
      <c r="D860" s="54"/>
      <c r="G860" s="54"/>
      <c r="H860" s="54"/>
      <c r="I860" s="54"/>
      <c r="J860" s="54"/>
      <c r="K860" s="54"/>
      <c r="L860" s="54"/>
      <c r="M860" s="54"/>
      <c r="O860" s="56"/>
      <c r="P860" s="54"/>
    </row>
    <row r="861" spans="4:16" x14ac:dyDescent="0.2">
      <c r="D861" s="54"/>
      <c r="G861" s="54"/>
      <c r="H861" s="54"/>
      <c r="I861" s="54"/>
      <c r="J861" s="54"/>
      <c r="K861" s="54"/>
      <c r="L861" s="54"/>
      <c r="M861" s="54"/>
      <c r="O861" s="56"/>
      <c r="P861" s="54"/>
    </row>
    <row r="862" spans="4:16" x14ac:dyDescent="0.2">
      <c r="D862" s="54"/>
      <c r="G862" s="54"/>
      <c r="H862" s="54"/>
      <c r="I862" s="54"/>
      <c r="J862" s="54"/>
      <c r="K862" s="54"/>
      <c r="L862" s="54"/>
      <c r="M862" s="54"/>
      <c r="O862" s="56"/>
      <c r="P862" s="54"/>
    </row>
    <row r="863" spans="4:16" x14ac:dyDescent="0.2">
      <c r="D863" s="54"/>
      <c r="G863" s="54"/>
      <c r="H863" s="54"/>
      <c r="I863" s="54"/>
      <c r="J863" s="54"/>
      <c r="K863" s="54"/>
      <c r="L863" s="54"/>
      <c r="M863" s="54"/>
      <c r="O863" s="56"/>
      <c r="P863" s="54"/>
    </row>
    <row r="864" spans="4:16" x14ac:dyDescent="0.2">
      <c r="D864" s="54"/>
      <c r="G864" s="54"/>
      <c r="H864" s="54"/>
      <c r="I864" s="54"/>
      <c r="J864" s="54"/>
      <c r="K864" s="54"/>
      <c r="L864" s="54"/>
      <c r="M864" s="54"/>
      <c r="O864" s="56"/>
      <c r="P864" s="54"/>
    </row>
    <row r="865" spans="4:16" x14ac:dyDescent="0.2">
      <c r="D865" s="54"/>
      <c r="G865" s="54"/>
      <c r="H865" s="54"/>
      <c r="I865" s="54"/>
      <c r="J865" s="54"/>
      <c r="K865" s="54"/>
      <c r="L865" s="54"/>
      <c r="M865" s="54"/>
      <c r="O865" s="56"/>
      <c r="P865" s="54"/>
    </row>
    <row r="866" spans="4:16" x14ac:dyDescent="0.2">
      <c r="D866" s="54"/>
      <c r="G866" s="54"/>
      <c r="H866" s="54"/>
      <c r="I866" s="54"/>
      <c r="J866" s="54"/>
      <c r="K866" s="54"/>
      <c r="L866" s="54"/>
      <c r="M866" s="54"/>
      <c r="O866" s="56"/>
      <c r="P866" s="54"/>
    </row>
    <row r="867" spans="4:16" x14ac:dyDescent="0.2">
      <c r="D867" s="54"/>
      <c r="G867" s="54"/>
      <c r="H867" s="54"/>
      <c r="I867" s="54"/>
      <c r="J867" s="54"/>
      <c r="K867" s="54"/>
      <c r="L867" s="54"/>
      <c r="M867" s="54"/>
      <c r="O867" s="56"/>
      <c r="P867" s="54"/>
    </row>
    <row r="868" spans="4:16" x14ac:dyDescent="0.2">
      <c r="D868" s="54"/>
      <c r="G868" s="54"/>
      <c r="H868" s="54"/>
      <c r="I868" s="54"/>
      <c r="J868" s="54"/>
      <c r="K868" s="54"/>
      <c r="L868" s="54"/>
      <c r="M868" s="54"/>
      <c r="O868" s="56"/>
      <c r="P868" s="54"/>
    </row>
    <row r="869" spans="4:16" x14ac:dyDescent="0.2">
      <c r="D869" s="54"/>
      <c r="G869" s="54"/>
      <c r="H869" s="54"/>
      <c r="I869" s="54"/>
      <c r="J869" s="54"/>
      <c r="K869" s="54"/>
      <c r="L869" s="54"/>
      <c r="M869" s="54"/>
      <c r="O869" s="56"/>
      <c r="P869" s="54"/>
    </row>
    <row r="870" spans="4:16" x14ac:dyDescent="0.2">
      <c r="D870" s="54"/>
      <c r="G870" s="54"/>
      <c r="H870" s="54"/>
      <c r="I870" s="54"/>
      <c r="J870" s="54"/>
      <c r="K870" s="54"/>
      <c r="L870" s="54"/>
      <c r="M870" s="54"/>
      <c r="O870" s="56"/>
      <c r="P870" s="54"/>
    </row>
    <row r="871" spans="4:16" x14ac:dyDescent="0.2">
      <c r="D871" s="54"/>
      <c r="G871" s="54"/>
      <c r="H871" s="54"/>
      <c r="I871" s="54"/>
      <c r="J871" s="54"/>
      <c r="K871" s="54"/>
      <c r="L871" s="54"/>
      <c r="M871" s="54"/>
      <c r="O871" s="56"/>
      <c r="P871" s="54"/>
    </row>
    <row r="872" spans="4:16" x14ac:dyDescent="0.2">
      <c r="D872" s="54"/>
      <c r="G872" s="54"/>
      <c r="H872" s="54"/>
      <c r="I872" s="54"/>
      <c r="J872" s="54"/>
      <c r="K872" s="54"/>
      <c r="L872" s="54"/>
      <c r="M872" s="54"/>
      <c r="O872" s="56"/>
      <c r="P872" s="54"/>
    </row>
    <row r="873" spans="4:16" x14ac:dyDescent="0.2">
      <c r="D873" s="54"/>
      <c r="G873" s="54"/>
      <c r="H873" s="54"/>
      <c r="I873" s="54"/>
      <c r="J873" s="54"/>
      <c r="K873" s="54"/>
      <c r="L873" s="54"/>
      <c r="M873" s="54"/>
      <c r="O873" s="56"/>
      <c r="P873" s="54"/>
    </row>
    <row r="874" spans="4:16" x14ac:dyDescent="0.2">
      <c r="D874" s="54"/>
      <c r="G874" s="54"/>
      <c r="H874" s="54"/>
      <c r="I874" s="54"/>
      <c r="J874" s="54"/>
      <c r="K874" s="54"/>
      <c r="L874" s="54"/>
      <c r="M874" s="54"/>
      <c r="O874" s="56"/>
      <c r="P874" s="54"/>
    </row>
    <row r="875" spans="4:16" x14ac:dyDescent="0.2">
      <c r="D875" s="54"/>
      <c r="G875" s="54"/>
      <c r="H875" s="54"/>
      <c r="I875" s="54"/>
      <c r="J875" s="54"/>
      <c r="K875" s="54"/>
      <c r="L875" s="54"/>
      <c r="M875" s="54"/>
      <c r="O875" s="56"/>
      <c r="P875" s="54"/>
    </row>
    <row r="876" spans="4:16" x14ac:dyDescent="0.2">
      <c r="D876" s="54"/>
      <c r="G876" s="54"/>
      <c r="H876" s="54"/>
      <c r="I876" s="54"/>
      <c r="J876" s="54"/>
      <c r="K876" s="54"/>
      <c r="L876" s="54"/>
      <c r="M876" s="54"/>
      <c r="O876" s="56"/>
      <c r="P876" s="54"/>
    </row>
    <row r="877" spans="4:16" x14ac:dyDescent="0.2">
      <c r="D877" s="54"/>
      <c r="G877" s="54"/>
      <c r="H877" s="54"/>
      <c r="I877" s="54"/>
      <c r="J877" s="54"/>
      <c r="K877" s="54"/>
      <c r="L877" s="54"/>
      <c r="M877" s="54"/>
      <c r="O877" s="56"/>
      <c r="P877" s="54"/>
    </row>
    <row r="878" spans="4:16" x14ac:dyDescent="0.2">
      <c r="D878" s="54"/>
      <c r="G878" s="54"/>
      <c r="H878" s="54"/>
      <c r="I878" s="54"/>
      <c r="J878" s="54"/>
      <c r="K878" s="54"/>
      <c r="L878" s="54"/>
      <c r="M878" s="54"/>
      <c r="O878" s="56"/>
      <c r="P878" s="54"/>
    </row>
    <row r="879" spans="4:16" x14ac:dyDescent="0.2">
      <c r="D879" s="54"/>
      <c r="G879" s="54"/>
      <c r="H879" s="54"/>
      <c r="I879" s="54"/>
      <c r="J879" s="54"/>
      <c r="K879" s="54"/>
      <c r="L879" s="54"/>
      <c r="M879" s="54"/>
      <c r="O879" s="56"/>
      <c r="P879" s="54"/>
    </row>
    <row r="880" spans="4:16" x14ac:dyDescent="0.2">
      <c r="D880" s="54"/>
      <c r="G880" s="54"/>
      <c r="H880" s="54"/>
      <c r="I880" s="54"/>
      <c r="J880" s="54"/>
      <c r="K880" s="54"/>
      <c r="L880" s="54"/>
      <c r="M880" s="54"/>
      <c r="O880" s="56"/>
      <c r="P880" s="54"/>
    </row>
    <row r="881" spans="4:16" x14ac:dyDescent="0.2">
      <c r="D881" s="54"/>
      <c r="G881" s="54"/>
      <c r="H881" s="54"/>
      <c r="I881" s="54"/>
      <c r="J881" s="54"/>
      <c r="K881" s="54"/>
      <c r="L881" s="54"/>
      <c r="M881" s="54"/>
      <c r="O881" s="56"/>
      <c r="P881" s="54"/>
    </row>
    <row r="882" spans="4:16" x14ac:dyDescent="0.2">
      <c r="D882" s="54"/>
      <c r="G882" s="54"/>
      <c r="H882" s="54"/>
      <c r="I882" s="54"/>
      <c r="J882" s="54"/>
      <c r="K882" s="54"/>
      <c r="L882" s="54"/>
      <c r="M882" s="54"/>
      <c r="O882" s="56"/>
      <c r="P882" s="54"/>
    </row>
    <row r="883" spans="4:16" x14ac:dyDescent="0.2">
      <c r="D883" s="54"/>
      <c r="G883" s="54"/>
      <c r="H883" s="54"/>
      <c r="I883" s="54"/>
      <c r="J883" s="54"/>
      <c r="K883" s="54"/>
      <c r="L883" s="54"/>
      <c r="M883" s="54"/>
      <c r="O883" s="56"/>
      <c r="P883" s="54"/>
    </row>
    <row r="884" spans="4:16" x14ac:dyDescent="0.2">
      <c r="D884" s="54"/>
      <c r="G884" s="54"/>
      <c r="H884" s="54"/>
      <c r="I884" s="54"/>
      <c r="J884" s="54"/>
      <c r="K884" s="54"/>
      <c r="L884" s="54"/>
      <c r="M884" s="54"/>
      <c r="O884" s="56"/>
      <c r="P884" s="54"/>
    </row>
    <row r="885" spans="4:16" x14ac:dyDescent="0.2">
      <c r="D885" s="54"/>
      <c r="G885" s="54"/>
      <c r="H885" s="54"/>
      <c r="I885" s="54"/>
      <c r="J885" s="54"/>
      <c r="K885" s="54"/>
      <c r="L885" s="54"/>
      <c r="M885" s="54"/>
      <c r="O885" s="56"/>
      <c r="P885" s="54"/>
    </row>
    <row r="886" spans="4:16" x14ac:dyDescent="0.2">
      <c r="D886" s="54"/>
      <c r="G886" s="54"/>
      <c r="H886" s="54"/>
      <c r="I886" s="54"/>
      <c r="J886" s="54"/>
      <c r="K886" s="54"/>
      <c r="L886" s="54"/>
      <c r="M886" s="54"/>
      <c r="O886" s="56"/>
      <c r="P886" s="54"/>
    </row>
    <row r="887" spans="4:16" x14ac:dyDescent="0.2">
      <c r="D887" s="54"/>
      <c r="G887" s="54"/>
      <c r="H887" s="54"/>
      <c r="I887" s="54"/>
      <c r="J887" s="54"/>
      <c r="K887" s="54"/>
      <c r="L887" s="54"/>
      <c r="M887" s="54"/>
      <c r="O887" s="56"/>
      <c r="P887" s="54"/>
    </row>
    <row r="888" spans="4:16" x14ac:dyDescent="0.2">
      <c r="D888" s="54"/>
      <c r="G888" s="54"/>
      <c r="H888" s="54"/>
      <c r="I888" s="54"/>
      <c r="J888" s="54"/>
      <c r="K888" s="54"/>
      <c r="L888" s="54"/>
      <c r="M888" s="54"/>
      <c r="O888" s="56"/>
      <c r="P888" s="54"/>
    </row>
    <row r="889" spans="4:16" x14ac:dyDescent="0.2">
      <c r="D889" s="54"/>
      <c r="G889" s="54"/>
      <c r="H889" s="54"/>
      <c r="I889" s="54"/>
      <c r="J889" s="54"/>
      <c r="K889" s="54"/>
      <c r="L889" s="54"/>
      <c r="M889" s="54"/>
      <c r="O889" s="56"/>
      <c r="P889" s="54"/>
    </row>
    <row r="890" spans="4:16" x14ac:dyDescent="0.2">
      <c r="D890" s="54"/>
      <c r="G890" s="54"/>
      <c r="H890" s="54"/>
      <c r="I890" s="54"/>
      <c r="J890" s="54"/>
      <c r="K890" s="54"/>
      <c r="L890" s="54"/>
      <c r="M890" s="54"/>
      <c r="O890" s="56"/>
      <c r="P890" s="54"/>
    </row>
    <row r="891" spans="4:16" x14ac:dyDescent="0.2">
      <c r="D891" s="54"/>
      <c r="G891" s="54"/>
      <c r="H891" s="54"/>
      <c r="I891" s="54"/>
      <c r="J891" s="54"/>
      <c r="K891" s="54"/>
      <c r="L891" s="54"/>
      <c r="M891" s="54"/>
      <c r="O891" s="56"/>
      <c r="P891" s="54"/>
    </row>
    <row r="892" spans="4:16" x14ac:dyDescent="0.2">
      <c r="D892" s="54"/>
      <c r="G892" s="54"/>
      <c r="H892" s="54"/>
      <c r="I892" s="54"/>
      <c r="J892" s="54"/>
      <c r="K892" s="54"/>
      <c r="L892" s="54"/>
      <c r="M892" s="54"/>
      <c r="O892" s="56"/>
      <c r="P892" s="54"/>
    </row>
    <row r="893" spans="4:16" x14ac:dyDescent="0.2">
      <c r="D893" s="54"/>
      <c r="G893" s="54"/>
      <c r="H893" s="54"/>
      <c r="I893" s="54"/>
      <c r="J893" s="54"/>
      <c r="K893" s="54"/>
      <c r="L893" s="54"/>
      <c r="M893" s="54"/>
      <c r="O893" s="56"/>
      <c r="P893" s="54"/>
    </row>
    <row r="894" spans="4:16" x14ac:dyDescent="0.2">
      <c r="D894" s="54"/>
      <c r="G894" s="54"/>
      <c r="H894" s="54"/>
      <c r="I894" s="54"/>
      <c r="J894" s="54"/>
      <c r="K894" s="54"/>
      <c r="L894" s="54"/>
      <c r="M894" s="54"/>
      <c r="O894" s="56"/>
      <c r="P894" s="54"/>
    </row>
    <row r="895" spans="4:16" x14ac:dyDescent="0.2">
      <c r="D895" s="54"/>
      <c r="G895" s="54"/>
      <c r="H895" s="54"/>
      <c r="I895" s="54"/>
      <c r="J895" s="54"/>
      <c r="K895" s="54"/>
      <c r="L895" s="54"/>
      <c r="M895" s="54"/>
      <c r="O895" s="56"/>
      <c r="P895" s="54"/>
    </row>
    <row r="896" spans="4:16" x14ac:dyDescent="0.2">
      <c r="D896" s="54"/>
      <c r="G896" s="54"/>
      <c r="H896" s="54"/>
      <c r="I896" s="54"/>
      <c r="J896" s="54"/>
      <c r="K896" s="54"/>
      <c r="L896" s="54"/>
      <c r="M896" s="54"/>
      <c r="O896" s="56"/>
      <c r="P896" s="54"/>
    </row>
    <row r="897" spans="4:16" x14ac:dyDescent="0.2">
      <c r="D897" s="54"/>
      <c r="G897" s="54"/>
      <c r="H897" s="54"/>
      <c r="I897" s="54"/>
      <c r="J897" s="54"/>
      <c r="K897" s="54"/>
      <c r="L897" s="54"/>
      <c r="M897" s="54"/>
      <c r="O897" s="56"/>
      <c r="P897" s="54"/>
    </row>
    <row r="898" spans="4:16" x14ac:dyDescent="0.2">
      <c r="D898" s="54"/>
      <c r="G898" s="54"/>
      <c r="H898" s="54"/>
      <c r="I898" s="54"/>
      <c r="J898" s="54"/>
      <c r="K898" s="54"/>
      <c r="L898" s="54"/>
      <c r="M898" s="54"/>
      <c r="O898" s="56"/>
      <c r="P898" s="54"/>
    </row>
    <row r="899" spans="4:16" x14ac:dyDescent="0.2">
      <c r="D899" s="54"/>
      <c r="G899" s="54"/>
      <c r="H899" s="54"/>
      <c r="I899" s="54"/>
      <c r="J899" s="54"/>
      <c r="K899" s="54"/>
      <c r="L899" s="54"/>
      <c r="M899" s="54"/>
      <c r="O899" s="56"/>
      <c r="P899" s="54"/>
    </row>
    <row r="900" spans="4:16" x14ac:dyDescent="0.2">
      <c r="D900" s="54"/>
      <c r="G900" s="54"/>
      <c r="H900" s="54"/>
      <c r="I900" s="54"/>
      <c r="J900" s="54"/>
      <c r="K900" s="54"/>
      <c r="L900" s="54"/>
      <c r="M900" s="54"/>
      <c r="O900" s="56"/>
      <c r="P900" s="54"/>
    </row>
    <row r="901" spans="4:16" x14ac:dyDescent="0.2">
      <c r="D901" s="54"/>
      <c r="G901" s="54"/>
      <c r="H901" s="54"/>
      <c r="I901" s="54"/>
      <c r="J901" s="54"/>
      <c r="K901" s="54"/>
      <c r="L901" s="54"/>
      <c r="M901" s="54"/>
      <c r="O901" s="56"/>
      <c r="P901" s="54"/>
    </row>
    <row r="902" spans="4:16" x14ac:dyDescent="0.2">
      <c r="D902" s="54"/>
      <c r="G902" s="54"/>
      <c r="H902" s="54"/>
      <c r="I902" s="54"/>
      <c r="J902" s="54"/>
      <c r="K902" s="54"/>
      <c r="L902" s="54"/>
      <c r="M902" s="54"/>
      <c r="O902" s="56"/>
      <c r="P902" s="54"/>
    </row>
    <row r="903" spans="4:16" x14ac:dyDescent="0.2">
      <c r="D903" s="54"/>
      <c r="G903" s="54"/>
      <c r="H903" s="54"/>
      <c r="I903" s="54"/>
      <c r="J903" s="54"/>
      <c r="K903" s="54"/>
      <c r="L903" s="54"/>
      <c r="M903" s="54"/>
      <c r="O903" s="56"/>
      <c r="P903" s="54"/>
    </row>
    <row r="904" spans="4:16" x14ac:dyDescent="0.2">
      <c r="D904" s="54"/>
      <c r="G904" s="54"/>
      <c r="H904" s="54"/>
      <c r="I904" s="54"/>
      <c r="J904" s="54"/>
      <c r="K904" s="54"/>
      <c r="L904" s="54"/>
      <c r="M904" s="54"/>
      <c r="O904" s="56"/>
      <c r="P904" s="54"/>
    </row>
    <row r="905" spans="4:16" x14ac:dyDescent="0.2">
      <c r="D905" s="54"/>
      <c r="G905" s="54"/>
      <c r="H905" s="54"/>
      <c r="I905" s="54"/>
      <c r="J905" s="54"/>
      <c r="K905" s="54"/>
      <c r="L905" s="54"/>
      <c r="M905" s="54"/>
      <c r="O905" s="56"/>
      <c r="P905" s="54"/>
    </row>
    <row r="906" spans="4:16" x14ac:dyDescent="0.2">
      <c r="D906" s="54"/>
      <c r="G906" s="54"/>
      <c r="H906" s="54"/>
      <c r="I906" s="54"/>
      <c r="J906" s="54"/>
      <c r="K906" s="54"/>
      <c r="L906" s="54"/>
      <c r="M906" s="54"/>
      <c r="O906" s="56"/>
      <c r="P906" s="54"/>
    </row>
    <row r="907" spans="4:16" x14ac:dyDescent="0.2">
      <c r="D907" s="54"/>
      <c r="G907" s="54"/>
      <c r="H907" s="54"/>
      <c r="I907" s="54"/>
      <c r="J907" s="54"/>
      <c r="K907" s="54"/>
      <c r="L907" s="54"/>
      <c r="M907" s="54"/>
      <c r="O907" s="56"/>
      <c r="P907" s="54"/>
    </row>
    <row r="908" spans="4:16" x14ac:dyDescent="0.2">
      <c r="D908" s="54"/>
      <c r="G908" s="54"/>
      <c r="H908" s="54"/>
      <c r="I908" s="54"/>
      <c r="J908" s="54"/>
      <c r="K908" s="54"/>
      <c r="L908" s="54"/>
      <c r="M908" s="54"/>
      <c r="O908" s="56"/>
      <c r="P908" s="54"/>
    </row>
    <row r="909" spans="4:16" x14ac:dyDescent="0.2">
      <c r="D909" s="54"/>
      <c r="G909" s="54"/>
      <c r="H909" s="54"/>
      <c r="I909" s="54"/>
      <c r="J909" s="54"/>
      <c r="K909" s="54"/>
      <c r="L909" s="54"/>
      <c r="M909" s="54"/>
      <c r="O909" s="56"/>
      <c r="P909" s="54"/>
    </row>
    <row r="910" spans="4:16" x14ac:dyDescent="0.2">
      <c r="D910" s="54"/>
      <c r="G910" s="54"/>
      <c r="H910" s="54"/>
      <c r="I910" s="54"/>
      <c r="J910" s="54"/>
      <c r="K910" s="54"/>
      <c r="L910" s="54"/>
      <c r="M910" s="54"/>
      <c r="O910" s="56"/>
      <c r="P910" s="54"/>
    </row>
    <row r="911" spans="4:16" x14ac:dyDescent="0.2">
      <c r="D911" s="54"/>
      <c r="G911" s="54"/>
      <c r="H911" s="54"/>
      <c r="I911" s="54"/>
      <c r="J911" s="54"/>
      <c r="K911" s="54"/>
      <c r="L911" s="54"/>
      <c r="M911" s="54"/>
      <c r="O911" s="56"/>
      <c r="P911" s="54"/>
    </row>
    <row r="912" spans="4:16" x14ac:dyDescent="0.2">
      <c r="D912" s="54"/>
      <c r="G912" s="54"/>
      <c r="H912" s="54"/>
      <c r="I912" s="54"/>
      <c r="J912" s="54"/>
      <c r="K912" s="54"/>
      <c r="L912" s="54"/>
      <c r="M912" s="54"/>
      <c r="O912" s="56"/>
      <c r="P912" s="54"/>
    </row>
    <row r="913" spans="4:16" x14ac:dyDescent="0.2">
      <c r="D913" s="54"/>
      <c r="G913" s="54"/>
      <c r="H913" s="54"/>
      <c r="I913" s="54"/>
      <c r="J913" s="54"/>
      <c r="K913" s="54"/>
      <c r="L913" s="54"/>
      <c r="M913" s="54"/>
      <c r="O913" s="56"/>
      <c r="P913" s="54"/>
    </row>
    <row r="914" spans="4:16" x14ac:dyDescent="0.2">
      <c r="D914" s="54"/>
      <c r="G914" s="54"/>
      <c r="H914" s="54"/>
      <c r="I914" s="54"/>
      <c r="J914" s="54"/>
      <c r="K914" s="54"/>
      <c r="L914" s="54"/>
      <c r="M914" s="54"/>
      <c r="O914" s="56"/>
      <c r="P914" s="54"/>
    </row>
    <row r="915" spans="4:16" x14ac:dyDescent="0.2">
      <c r="D915" s="54"/>
      <c r="G915" s="54"/>
      <c r="H915" s="54"/>
      <c r="I915" s="54"/>
      <c r="J915" s="54"/>
      <c r="K915" s="54"/>
      <c r="L915" s="54"/>
      <c r="M915" s="54"/>
      <c r="O915" s="56"/>
      <c r="P915" s="54"/>
    </row>
    <row r="916" spans="4:16" x14ac:dyDescent="0.2">
      <c r="D916" s="54"/>
      <c r="G916" s="54"/>
      <c r="H916" s="54"/>
      <c r="I916" s="54"/>
      <c r="J916" s="54"/>
      <c r="K916" s="54"/>
      <c r="L916" s="54"/>
      <c r="M916" s="54"/>
      <c r="O916" s="56"/>
      <c r="P916" s="54"/>
    </row>
    <row r="917" spans="4:16" x14ac:dyDescent="0.2">
      <c r="D917" s="54"/>
      <c r="G917" s="54"/>
      <c r="H917" s="54"/>
      <c r="I917" s="54"/>
      <c r="J917" s="54"/>
      <c r="K917" s="54"/>
      <c r="L917" s="54"/>
      <c r="M917" s="54"/>
      <c r="O917" s="56"/>
      <c r="P917" s="54"/>
    </row>
    <row r="918" spans="4:16" x14ac:dyDescent="0.2">
      <c r="D918" s="54"/>
      <c r="G918" s="54"/>
      <c r="H918" s="54"/>
      <c r="I918" s="54"/>
      <c r="J918" s="54"/>
      <c r="K918" s="54"/>
      <c r="L918" s="54"/>
      <c r="M918" s="54"/>
      <c r="O918" s="56"/>
      <c r="P918" s="54"/>
    </row>
    <row r="919" spans="4:16" x14ac:dyDescent="0.2">
      <c r="D919" s="54"/>
      <c r="G919" s="54"/>
      <c r="H919" s="54"/>
      <c r="I919" s="54"/>
      <c r="J919" s="54"/>
      <c r="K919" s="54"/>
      <c r="L919" s="54"/>
      <c r="M919" s="54"/>
      <c r="O919" s="56"/>
      <c r="P919" s="54"/>
    </row>
    <row r="920" spans="4:16" x14ac:dyDescent="0.2">
      <c r="D920" s="54"/>
      <c r="G920" s="54"/>
      <c r="H920" s="54"/>
      <c r="I920" s="54"/>
      <c r="J920" s="54"/>
      <c r="K920" s="54"/>
      <c r="L920" s="54"/>
      <c r="M920" s="54"/>
      <c r="O920" s="56"/>
      <c r="P920" s="54"/>
    </row>
    <row r="921" spans="4:16" x14ac:dyDescent="0.2">
      <c r="D921" s="54"/>
      <c r="G921" s="54"/>
      <c r="H921" s="54"/>
      <c r="I921" s="54"/>
      <c r="J921" s="54"/>
      <c r="K921" s="54"/>
      <c r="L921" s="54"/>
      <c r="M921" s="54"/>
      <c r="O921" s="56"/>
      <c r="P921" s="54"/>
    </row>
    <row r="922" spans="4:16" x14ac:dyDescent="0.2">
      <c r="D922" s="54"/>
      <c r="G922" s="54"/>
      <c r="H922" s="54"/>
      <c r="I922" s="54"/>
      <c r="J922" s="54"/>
      <c r="K922" s="54"/>
      <c r="L922" s="54"/>
      <c r="M922" s="54"/>
      <c r="O922" s="56"/>
      <c r="P922" s="54"/>
    </row>
    <row r="923" spans="4:16" x14ac:dyDescent="0.2">
      <c r="D923" s="54"/>
      <c r="G923" s="54"/>
      <c r="H923" s="54"/>
      <c r="I923" s="54"/>
      <c r="J923" s="54"/>
      <c r="K923" s="54"/>
      <c r="L923" s="54"/>
      <c r="M923" s="54"/>
      <c r="O923" s="56"/>
      <c r="P923" s="54"/>
    </row>
    <row r="924" spans="4:16" x14ac:dyDescent="0.2">
      <c r="D924" s="54"/>
      <c r="G924" s="54"/>
      <c r="H924" s="54"/>
      <c r="I924" s="54"/>
      <c r="J924" s="54"/>
      <c r="K924" s="54"/>
      <c r="L924" s="54"/>
      <c r="M924" s="54"/>
      <c r="O924" s="56"/>
      <c r="P924" s="54"/>
    </row>
    <row r="925" spans="4:16" x14ac:dyDescent="0.2">
      <c r="D925" s="54"/>
      <c r="G925" s="54"/>
      <c r="H925" s="54"/>
      <c r="I925" s="54"/>
      <c r="J925" s="54"/>
      <c r="K925" s="54"/>
      <c r="L925" s="54"/>
      <c r="M925" s="54"/>
      <c r="O925" s="56"/>
      <c r="P925" s="54"/>
    </row>
    <row r="926" spans="4:16" x14ac:dyDescent="0.2">
      <c r="D926" s="54"/>
      <c r="G926" s="54"/>
      <c r="H926" s="54"/>
      <c r="I926" s="54"/>
      <c r="J926" s="54"/>
      <c r="K926" s="54"/>
      <c r="L926" s="54"/>
      <c r="M926" s="54"/>
      <c r="O926" s="56"/>
      <c r="P926" s="54"/>
    </row>
    <row r="927" spans="4:16" x14ac:dyDescent="0.2">
      <c r="D927" s="54"/>
      <c r="G927" s="54"/>
      <c r="H927" s="54"/>
      <c r="I927" s="54"/>
      <c r="J927" s="54"/>
      <c r="K927" s="54"/>
      <c r="L927" s="54"/>
      <c r="M927" s="54"/>
      <c r="O927" s="56"/>
      <c r="P927" s="54"/>
    </row>
    <row r="928" spans="4:16" x14ac:dyDescent="0.2">
      <c r="D928" s="54"/>
      <c r="G928" s="54"/>
      <c r="H928" s="54"/>
      <c r="I928" s="54"/>
      <c r="J928" s="54"/>
      <c r="K928" s="54"/>
      <c r="L928" s="54"/>
      <c r="M928" s="54"/>
      <c r="O928" s="56"/>
      <c r="P928" s="54"/>
    </row>
    <row r="929" spans="4:16" x14ac:dyDescent="0.2">
      <c r="D929" s="54"/>
      <c r="G929" s="54"/>
      <c r="H929" s="54"/>
      <c r="I929" s="54"/>
      <c r="J929" s="54"/>
      <c r="K929" s="54"/>
      <c r="L929" s="54"/>
      <c r="M929" s="54"/>
      <c r="O929" s="56"/>
      <c r="P929" s="54"/>
    </row>
    <row r="930" spans="4:16" x14ac:dyDescent="0.2">
      <c r="D930" s="54"/>
      <c r="G930" s="54"/>
      <c r="H930" s="54"/>
      <c r="I930" s="54"/>
      <c r="J930" s="54"/>
      <c r="K930" s="54"/>
      <c r="L930" s="54"/>
      <c r="M930" s="54"/>
      <c r="O930" s="56"/>
      <c r="P930" s="54"/>
    </row>
    <row r="931" spans="4:16" x14ac:dyDescent="0.2">
      <c r="D931" s="54"/>
      <c r="G931" s="54"/>
      <c r="H931" s="54"/>
      <c r="I931" s="54"/>
      <c r="J931" s="54"/>
      <c r="K931" s="54"/>
      <c r="L931" s="54"/>
      <c r="M931" s="54"/>
      <c r="O931" s="56"/>
      <c r="P931" s="54"/>
    </row>
    <row r="932" spans="4:16" x14ac:dyDescent="0.2">
      <c r="D932" s="54"/>
      <c r="G932" s="54"/>
      <c r="H932" s="54"/>
      <c r="I932" s="54"/>
      <c r="J932" s="54"/>
      <c r="K932" s="54"/>
      <c r="L932" s="54"/>
      <c r="M932" s="54"/>
      <c r="O932" s="56"/>
      <c r="P932" s="54"/>
    </row>
    <row r="933" spans="4:16" x14ac:dyDescent="0.2">
      <c r="D933" s="54"/>
      <c r="G933" s="54"/>
      <c r="H933" s="54"/>
      <c r="I933" s="54"/>
      <c r="J933" s="54"/>
      <c r="K933" s="54"/>
      <c r="L933" s="54"/>
      <c r="M933" s="54"/>
      <c r="O933" s="56"/>
      <c r="P933" s="54"/>
    </row>
    <row r="934" spans="4:16" x14ac:dyDescent="0.2">
      <c r="D934" s="54"/>
      <c r="G934" s="54"/>
      <c r="H934" s="54"/>
      <c r="I934" s="54"/>
      <c r="J934" s="54"/>
      <c r="K934" s="54"/>
      <c r="L934" s="54"/>
      <c r="M934" s="54"/>
      <c r="O934" s="56"/>
      <c r="P934" s="54"/>
    </row>
    <row r="935" spans="4:16" x14ac:dyDescent="0.2">
      <c r="D935" s="54"/>
      <c r="G935" s="54"/>
      <c r="H935" s="54"/>
      <c r="I935" s="54"/>
      <c r="J935" s="54"/>
      <c r="K935" s="54"/>
      <c r="L935" s="54"/>
      <c r="M935" s="54"/>
      <c r="O935" s="56"/>
      <c r="P935" s="54"/>
    </row>
    <row r="936" spans="4:16" x14ac:dyDescent="0.2">
      <c r="D936" s="54"/>
      <c r="G936" s="54"/>
      <c r="H936" s="54"/>
      <c r="I936" s="54"/>
      <c r="J936" s="54"/>
      <c r="K936" s="54"/>
      <c r="L936" s="54"/>
      <c r="M936" s="54"/>
      <c r="O936" s="56"/>
      <c r="P936" s="54"/>
    </row>
    <row r="937" spans="4:16" x14ac:dyDescent="0.2">
      <c r="D937" s="54"/>
      <c r="G937" s="54"/>
      <c r="H937" s="54"/>
      <c r="I937" s="54"/>
      <c r="J937" s="54"/>
      <c r="K937" s="54"/>
      <c r="L937" s="54"/>
      <c r="M937" s="54"/>
      <c r="O937" s="56"/>
      <c r="P937" s="54"/>
    </row>
    <row r="938" spans="4:16" x14ac:dyDescent="0.2">
      <c r="D938" s="54"/>
      <c r="G938" s="54"/>
      <c r="H938" s="54"/>
      <c r="I938" s="54"/>
      <c r="J938" s="54"/>
      <c r="K938" s="54"/>
      <c r="L938" s="54"/>
      <c r="M938" s="54"/>
      <c r="O938" s="56"/>
      <c r="P938" s="54"/>
    </row>
    <row r="939" spans="4:16" x14ac:dyDescent="0.2">
      <c r="D939" s="54"/>
      <c r="G939" s="54"/>
      <c r="H939" s="54"/>
      <c r="I939" s="54"/>
      <c r="J939" s="54"/>
      <c r="K939" s="54"/>
      <c r="L939" s="54"/>
      <c r="M939" s="54"/>
      <c r="O939" s="56"/>
      <c r="P939" s="54"/>
    </row>
    <row r="940" spans="4:16" x14ac:dyDescent="0.2">
      <c r="D940" s="54"/>
      <c r="G940" s="54"/>
      <c r="H940" s="54"/>
      <c r="I940" s="54"/>
      <c r="J940" s="54"/>
      <c r="K940" s="54"/>
      <c r="L940" s="54"/>
      <c r="M940" s="54"/>
      <c r="O940" s="56"/>
      <c r="P940" s="54"/>
    </row>
    <row r="941" spans="4:16" x14ac:dyDescent="0.2">
      <c r="D941" s="54"/>
      <c r="G941" s="54"/>
      <c r="H941" s="54"/>
      <c r="I941" s="54"/>
      <c r="J941" s="54"/>
      <c r="K941" s="54"/>
      <c r="L941" s="54"/>
      <c r="M941" s="54"/>
      <c r="O941" s="56"/>
      <c r="P941" s="54"/>
    </row>
    <row r="942" spans="4:16" x14ac:dyDescent="0.2">
      <c r="D942" s="54"/>
      <c r="G942" s="54"/>
      <c r="H942" s="54"/>
      <c r="I942" s="54"/>
      <c r="J942" s="54"/>
      <c r="K942" s="54"/>
      <c r="L942" s="54"/>
      <c r="M942" s="54"/>
      <c r="O942" s="56"/>
      <c r="P942" s="54"/>
    </row>
    <row r="943" spans="4:16" x14ac:dyDescent="0.2">
      <c r="D943" s="54"/>
      <c r="G943" s="54"/>
      <c r="H943" s="54"/>
      <c r="I943" s="54"/>
      <c r="J943" s="54"/>
      <c r="K943" s="54"/>
      <c r="L943" s="54"/>
      <c r="M943" s="54"/>
      <c r="O943" s="56"/>
      <c r="P943" s="54"/>
    </row>
    <row r="944" spans="4:16" x14ac:dyDescent="0.2">
      <c r="D944" s="54"/>
      <c r="G944" s="54"/>
      <c r="H944" s="54"/>
      <c r="I944" s="54"/>
      <c r="J944" s="54"/>
      <c r="K944" s="54"/>
      <c r="L944" s="54"/>
      <c r="M944" s="54"/>
      <c r="O944" s="56"/>
      <c r="P944" s="54"/>
    </row>
    <row r="945" spans="4:16" x14ac:dyDescent="0.2">
      <c r="D945" s="54"/>
      <c r="G945" s="54"/>
      <c r="H945" s="54"/>
      <c r="I945" s="54"/>
      <c r="J945" s="54"/>
      <c r="K945" s="54"/>
      <c r="L945" s="54"/>
      <c r="M945" s="54"/>
      <c r="O945" s="56"/>
      <c r="P945" s="54"/>
    </row>
    <row r="946" spans="4:16" x14ac:dyDescent="0.2">
      <c r="D946" s="54"/>
      <c r="G946" s="54"/>
      <c r="H946" s="54"/>
      <c r="I946" s="54"/>
      <c r="J946" s="54"/>
      <c r="K946" s="54"/>
      <c r="L946" s="54"/>
      <c r="M946" s="54"/>
      <c r="O946" s="56"/>
      <c r="P946" s="54"/>
    </row>
    <row r="947" spans="4:16" x14ac:dyDescent="0.2">
      <c r="D947" s="54"/>
      <c r="G947" s="54"/>
      <c r="H947" s="54"/>
      <c r="I947" s="54"/>
      <c r="J947" s="54"/>
      <c r="K947" s="54"/>
      <c r="L947" s="54"/>
      <c r="M947" s="54"/>
      <c r="O947" s="56"/>
      <c r="P947" s="54"/>
    </row>
    <row r="948" spans="4:16" x14ac:dyDescent="0.2">
      <c r="D948" s="54"/>
      <c r="G948" s="54"/>
      <c r="H948" s="54"/>
      <c r="I948" s="54"/>
      <c r="J948" s="54"/>
      <c r="K948" s="54"/>
      <c r="L948" s="54"/>
      <c r="M948" s="54"/>
      <c r="O948" s="56"/>
      <c r="P948" s="54"/>
    </row>
    <row r="949" spans="4:16" x14ac:dyDescent="0.2">
      <c r="D949" s="54"/>
      <c r="G949" s="54"/>
      <c r="H949" s="54"/>
      <c r="I949" s="54"/>
      <c r="J949" s="54"/>
      <c r="K949" s="54"/>
      <c r="L949" s="54"/>
      <c r="M949" s="54"/>
      <c r="O949" s="56"/>
      <c r="P949" s="54"/>
    </row>
    <row r="950" spans="4:16" x14ac:dyDescent="0.2">
      <c r="D950" s="54"/>
      <c r="G950" s="54"/>
      <c r="H950" s="54"/>
      <c r="I950" s="54"/>
      <c r="J950" s="54"/>
      <c r="K950" s="54"/>
      <c r="L950" s="54"/>
      <c r="M950" s="54"/>
      <c r="O950" s="56"/>
      <c r="P950" s="54"/>
    </row>
    <row r="951" spans="4:16" x14ac:dyDescent="0.2">
      <c r="D951" s="54"/>
      <c r="G951" s="54"/>
      <c r="H951" s="54"/>
      <c r="I951" s="54"/>
      <c r="J951" s="54"/>
      <c r="K951" s="54"/>
      <c r="L951" s="54"/>
      <c r="M951" s="54"/>
      <c r="O951" s="56"/>
      <c r="P951" s="54"/>
    </row>
    <row r="952" spans="4:16" x14ac:dyDescent="0.2">
      <c r="D952" s="54"/>
      <c r="G952" s="54"/>
      <c r="H952" s="54"/>
      <c r="I952" s="54"/>
      <c r="J952" s="54"/>
      <c r="K952" s="54"/>
      <c r="L952" s="54"/>
      <c r="M952" s="54"/>
      <c r="O952" s="56"/>
      <c r="P952" s="54"/>
    </row>
    <row r="953" spans="4:16" x14ac:dyDescent="0.2">
      <c r="D953" s="54"/>
      <c r="G953" s="54"/>
      <c r="H953" s="54"/>
      <c r="I953" s="54"/>
      <c r="J953" s="54"/>
      <c r="K953" s="54"/>
      <c r="L953" s="54"/>
      <c r="M953" s="54"/>
      <c r="O953" s="56"/>
      <c r="P953" s="54"/>
    </row>
    <row r="954" spans="4:16" x14ac:dyDescent="0.2">
      <c r="D954" s="54"/>
      <c r="G954" s="54"/>
      <c r="H954" s="54"/>
      <c r="I954" s="54"/>
      <c r="J954" s="54"/>
      <c r="K954" s="54"/>
      <c r="L954" s="54"/>
      <c r="M954" s="54"/>
      <c r="O954" s="56"/>
      <c r="P954" s="54"/>
    </row>
    <row r="955" spans="4:16" x14ac:dyDescent="0.2">
      <c r="D955" s="54"/>
      <c r="G955" s="54"/>
      <c r="H955" s="54"/>
      <c r="I955" s="54"/>
      <c r="J955" s="54"/>
      <c r="K955" s="54"/>
      <c r="L955" s="54"/>
      <c r="M955" s="54"/>
      <c r="O955" s="56"/>
      <c r="P955" s="54"/>
    </row>
    <row r="956" spans="4:16" x14ac:dyDescent="0.2">
      <c r="D956" s="54"/>
      <c r="G956" s="54"/>
      <c r="H956" s="54"/>
      <c r="I956" s="54"/>
      <c r="J956" s="54"/>
      <c r="K956" s="54"/>
      <c r="L956" s="54"/>
      <c r="M956" s="54"/>
      <c r="O956" s="56"/>
      <c r="P956" s="54"/>
    </row>
    <row r="957" spans="4:16" x14ac:dyDescent="0.2">
      <c r="D957" s="54"/>
      <c r="G957" s="54"/>
      <c r="H957" s="54"/>
      <c r="I957" s="54"/>
      <c r="J957" s="54"/>
      <c r="K957" s="54"/>
      <c r="L957" s="54"/>
      <c r="M957" s="54"/>
      <c r="O957" s="56"/>
      <c r="P957" s="54"/>
    </row>
    <row r="958" spans="4:16" x14ac:dyDescent="0.2">
      <c r="D958" s="54"/>
      <c r="G958" s="54"/>
      <c r="H958" s="54"/>
      <c r="I958" s="54"/>
      <c r="J958" s="54"/>
      <c r="K958" s="54"/>
      <c r="L958" s="54"/>
      <c r="M958" s="54"/>
      <c r="O958" s="56"/>
      <c r="P958" s="54"/>
    </row>
    <row r="959" spans="4:16" x14ac:dyDescent="0.2">
      <c r="D959" s="54"/>
      <c r="G959" s="54"/>
      <c r="H959" s="54"/>
      <c r="I959" s="54"/>
      <c r="J959" s="54"/>
      <c r="K959" s="54"/>
      <c r="L959" s="54"/>
      <c r="M959" s="54"/>
      <c r="O959" s="56"/>
      <c r="P959" s="54"/>
    </row>
    <row r="960" spans="4:16" x14ac:dyDescent="0.2">
      <c r="D960" s="54"/>
      <c r="G960" s="54"/>
      <c r="H960" s="54"/>
      <c r="I960" s="54"/>
      <c r="J960" s="54"/>
      <c r="K960" s="54"/>
      <c r="L960" s="54"/>
      <c r="M960" s="54"/>
      <c r="O960" s="56"/>
      <c r="P960" s="54"/>
    </row>
    <row r="961" spans="4:16" x14ac:dyDescent="0.2">
      <c r="D961" s="54"/>
      <c r="G961" s="54"/>
      <c r="H961" s="54"/>
      <c r="I961" s="54"/>
      <c r="J961" s="54"/>
      <c r="K961" s="54"/>
      <c r="L961" s="54"/>
      <c r="M961" s="54"/>
      <c r="O961" s="56"/>
      <c r="P961" s="54"/>
    </row>
    <row r="962" spans="4:16" x14ac:dyDescent="0.2">
      <c r="D962" s="54"/>
      <c r="G962" s="54"/>
      <c r="H962" s="54"/>
      <c r="I962" s="54"/>
      <c r="J962" s="54"/>
      <c r="K962" s="54"/>
      <c r="L962" s="54"/>
      <c r="M962" s="54"/>
      <c r="O962" s="56"/>
      <c r="P962" s="54"/>
    </row>
    <row r="963" spans="4:16" x14ac:dyDescent="0.2">
      <c r="D963" s="54"/>
      <c r="G963" s="54"/>
      <c r="H963" s="54"/>
      <c r="I963" s="54"/>
      <c r="J963" s="54"/>
      <c r="K963" s="54"/>
      <c r="L963" s="54"/>
      <c r="M963" s="54"/>
      <c r="O963" s="56"/>
      <c r="P963" s="54"/>
    </row>
    <row r="964" spans="4:16" x14ac:dyDescent="0.2">
      <c r="D964" s="54"/>
      <c r="G964" s="54"/>
      <c r="H964" s="54"/>
      <c r="I964" s="54"/>
      <c r="J964" s="54"/>
      <c r="K964" s="54"/>
      <c r="L964" s="54"/>
      <c r="M964" s="54"/>
      <c r="O964" s="56"/>
      <c r="P964" s="54"/>
    </row>
    <row r="965" spans="4:16" x14ac:dyDescent="0.2">
      <c r="D965" s="54"/>
      <c r="G965" s="54"/>
      <c r="H965" s="54"/>
      <c r="I965" s="54"/>
      <c r="J965" s="54"/>
      <c r="K965" s="54"/>
      <c r="L965" s="54"/>
      <c r="M965" s="54"/>
      <c r="O965" s="56"/>
      <c r="P965" s="54"/>
    </row>
    <row r="966" spans="4:16" x14ac:dyDescent="0.2">
      <c r="D966" s="54"/>
      <c r="G966" s="54"/>
      <c r="H966" s="54"/>
      <c r="I966" s="54"/>
      <c r="J966" s="54"/>
      <c r="K966" s="54"/>
      <c r="L966" s="54"/>
      <c r="M966" s="54"/>
      <c r="O966" s="56"/>
      <c r="P966" s="54"/>
    </row>
    <row r="967" spans="4:16" x14ac:dyDescent="0.2">
      <c r="D967" s="54"/>
      <c r="G967" s="54"/>
      <c r="H967" s="54"/>
      <c r="I967" s="54"/>
      <c r="J967" s="54"/>
      <c r="K967" s="54"/>
      <c r="L967" s="54"/>
      <c r="M967" s="54"/>
      <c r="O967" s="56"/>
      <c r="P967" s="54"/>
    </row>
    <row r="968" spans="4:16" x14ac:dyDescent="0.2">
      <c r="D968" s="54"/>
      <c r="G968" s="54"/>
      <c r="H968" s="54"/>
      <c r="I968" s="54"/>
      <c r="J968" s="54"/>
      <c r="K968" s="54"/>
      <c r="L968" s="54"/>
      <c r="M968" s="54"/>
      <c r="O968" s="56"/>
      <c r="P968" s="54"/>
    </row>
    <row r="969" spans="4:16" x14ac:dyDescent="0.2">
      <c r="D969" s="54"/>
      <c r="G969" s="54"/>
      <c r="H969" s="54"/>
      <c r="I969" s="54"/>
      <c r="J969" s="54"/>
      <c r="K969" s="54"/>
      <c r="L969" s="54"/>
      <c r="M969" s="54"/>
      <c r="O969" s="56"/>
      <c r="P969" s="54"/>
    </row>
    <row r="970" spans="4:16" x14ac:dyDescent="0.2">
      <c r="D970" s="54"/>
      <c r="G970" s="54"/>
      <c r="H970" s="54"/>
      <c r="I970" s="54"/>
      <c r="J970" s="54"/>
      <c r="K970" s="54"/>
      <c r="L970" s="54"/>
      <c r="M970" s="54"/>
      <c r="O970" s="56"/>
      <c r="P970" s="54"/>
    </row>
    <row r="971" spans="4:16" x14ac:dyDescent="0.2">
      <c r="D971" s="54"/>
      <c r="G971" s="54"/>
      <c r="H971" s="54"/>
      <c r="I971" s="54"/>
      <c r="J971" s="54"/>
      <c r="K971" s="54"/>
      <c r="L971" s="54"/>
      <c r="M971" s="54"/>
      <c r="O971" s="56"/>
      <c r="P971" s="54"/>
    </row>
    <row r="972" spans="4:16" x14ac:dyDescent="0.2">
      <c r="D972" s="54"/>
      <c r="G972" s="54"/>
      <c r="H972" s="54"/>
      <c r="I972" s="54"/>
      <c r="J972" s="54"/>
      <c r="K972" s="54"/>
      <c r="L972" s="54"/>
      <c r="M972" s="54"/>
      <c r="O972" s="56"/>
      <c r="P972" s="54"/>
    </row>
    <row r="973" spans="4:16" x14ac:dyDescent="0.2">
      <c r="D973" s="54"/>
      <c r="G973" s="54"/>
      <c r="H973" s="54"/>
      <c r="I973" s="54"/>
      <c r="J973" s="54"/>
      <c r="K973" s="54"/>
      <c r="L973" s="54"/>
      <c r="M973" s="54"/>
      <c r="O973" s="56"/>
      <c r="P973" s="54"/>
    </row>
    <row r="974" spans="4:16" x14ac:dyDescent="0.2">
      <c r="D974" s="54"/>
      <c r="G974" s="54"/>
      <c r="H974" s="54"/>
      <c r="I974" s="54"/>
      <c r="J974" s="54"/>
      <c r="K974" s="54"/>
      <c r="L974" s="54"/>
      <c r="M974" s="54"/>
      <c r="O974" s="56"/>
      <c r="P974" s="54"/>
    </row>
    <row r="975" spans="4:16" x14ac:dyDescent="0.2">
      <c r="D975" s="54"/>
      <c r="G975" s="54"/>
      <c r="H975" s="54"/>
      <c r="I975" s="54"/>
      <c r="J975" s="54"/>
      <c r="K975" s="54"/>
      <c r="L975" s="54"/>
      <c r="M975" s="54"/>
      <c r="O975" s="56"/>
      <c r="P975" s="54"/>
    </row>
    <row r="976" spans="4:16" x14ac:dyDescent="0.2">
      <c r="D976" s="54"/>
      <c r="G976" s="54"/>
      <c r="H976" s="54"/>
      <c r="I976" s="54"/>
      <c r="J976" s="54"/>
      <c r="K976" s="54"/>
      <c r="L976" s="54"/>
      <c r="M976" s="54"/>
      <c r="O976" s="56"/>
      <c r="P976" s="54"/>
    </row>
    <row r="977" spans="4:16" x14ac:dyDescent="0.2">
      <c r="D977" s="54"/>
      <c r="G977" s="54"/>
      <c r="H977" s="54"/>
      <c r="I977" s="54"/>
      <c r="J977" s="54"/>
      <c r="K977" s="54"/>
      <c r="L977" s="54"/>
      <c r="M977" s="54"/>
      <c r="O977" s="56"/>
      <c r="P977" s="54"/>
    </row>
    <row r="978" spans="4:16" x14ac:dyDescent="0.2">
      <c r="D978" s="54"/>
      <c r="G978" s="54"/>
      <c r="H978" s="54"/>
      <c r="I978" s="54"/>
      <c r="J978" s="54"/>
      <c r="K978" s="54"/>
      <c r="L978" s="54"/>
      <c r="M978" s="54"/>
      <c r="O978" s="56"/>
      <c r="P978" s="54"/>
    </row>
    <row r="979" spans="4:16" x14ac:dyDescent="0.2">
      <c r="D979" s="54"/>
      <c r="G979" s="54"/>
      <c r="H979" s="54"/>
      <c r="I979" s="54"/>
      <c r="J979" s="54"/>
      <c r="K979" s="54"/>
      <c r="L979" s="54"/>
      <c r="M979" s="54"/>
      <c r="O979" s="56"/>
      <c r="P979" s="54"/>
    </row>
    <row r="980" spans="4:16" x14ac:dyDescent="0.2">
      <c r="D980" s="54"/>
      <c r="G980" s="54"/>
      <c r="H980" s="54"/>
      <c r="I980" s="54"/>
      <c r="J980" s="54"/>
      <c r="K980" s="54"/>
      <c r="L980" s="54"/>
      <c r="M980" s="54"/>
      <c r="O980" s="56"/>
      <c r="P980" s="54"/>
    </row>
    <row r="981" spans="4:16" x14ac:dyDescent="0.2">
      <c r="D981" s="54"/>
      <c r="G981" s="54"/>
      <c r="H981" s="54"/>
      <c r="I981" s="54"/>
      <c r="J981" s="54"/>
      <c r="K981" s="54"/>
      <c r="L981" s="54"/>
      <c r="M981" s="54"/>
      <c r="O981" s="56"/>
      <c r="P981" s="54"/>
    </row>
    <row r="982" spans="4:16" x14ac:dyDescent="0.2">
      <c r="D982" s="54"/>
      <c r="G982" s="54"/>
      <c r="H982" s="54"/>
      <c r="I982" s="54"/>
      <c r="J982" s="54"/>
      <c r="K982" s="54"/>
      <c r="L982" s="54"/>
      <c r="M982" s="54"/>
      <c r="O982" s="56"/>
      <c r="P982" s="54"/>
    </row>
    <row r="983" spans="4:16" x14ac:dyDescent="0.2">
      <c r="D983" s="54"/>
      <c r="G983" s="54"/>
      <c r="H983" s="54"/>
      <c r="I983" s="54"/>
      <c r="J983" s="54"/>
      <c r="K983" s="54"/>
      <c r="L983" s="54"/>
      <c r="M983" s="54"/>
      <c r="O983" s="56"/>
      <c r="P983" s="54"/>
    </row>
    <row r="984" spans="4:16" x14ac:dyDescent="0.2">
      <c r="D984" s="54"/>
      <c r="G984" s="54"/>
      <c r="H984" s="54"/>
      <c r="I984" s="54"/>
      <c r="J984" s="54"/>
      <c r="K984" s="54"/>
      <c r="L984" s="54"/>
      <c r="M984" s="54"/>
      <c r="O984" s="56"/>
      <c r="P984" s="54"/>
    </row>
    <row r="985" spans="4:16" x14ac:dyDescent="0.2">
      <c r="D985" s="54"/>
      <c r="G985" s="54"/>
      <c r="H985" s="54"/>
      <c r="I985" s="54"/>
      <c r="J985" s="54"/>
      <c r="K985" s="54"/>
      <c r="L985" s="54"/>
      <c r="M985" s="54"/>
      <c r="O985" s="56"/>
      <c r="P985" s="54"/>
    </row>
    <row r="986" spans="4:16" x14ac:dyDescent="0.2">
      <c r="D986" s="54"/>
      <c r="G986" s="54"/>
      <c r="H986" s="54"/>
      <c r="I986" s="54"/>
      <c r="J986" s="54"/>
      <c r="K986" s="54"/>
      <c r="L986" s="54"/>
      <c r="M986" s="54"/>
      <c r="O986" s="56"/>
      <c r="P986" s="54"/>
    </row>
    <row r="987" spans="4:16" x14ac:dyDescent="0.2">
      <c r="D987" s="54"/>
      <c r="G987" s="54"/>
      <c r="H987" s="54"/>
      <c r="I987" s="54"/>
      <c r="J987" s="54"/>
      <c r="K987" s="54"/>
      <c r="L987" s="54"/>
      <c r="M987" s="54"/>
      <c r="O987" s="56"/>
      <c r="P987" s="54"/>
    </row>
    <row r="988" spans="4:16" x14ac:dyDescent="0.2">
      <c r="D988" s="54"/>
      <c r="G988" s="54"/>
      <c r="H988" s="54"/>
      <c r="I988" s="54"/>
      <c r="J988" s="54"/>
      <c r="K988" s="54"/>
      <c r="L988" s="54"/>
      <c r="M988" s="54"/>
      <c r="O988" s="56"/>
      <c r="P988" s="54"/>
    </row>
    <row r="989" spans="4:16" x14ac:dyDescent="0.2">
      <c r="D989" s="54"/>
      <c r="G989" s="54"/>
      <c r="H989" s="54"/>
      <c r="I989" s="54"/>
      <c r="J989" s="54"/>
      <c r="K989" s="54"/>
      <c r="L989" s="54"/>
      <c r="M989" s="54"/>
      <c r="O989" s="56"/>
      <c r="P989" s="54"/>
    </row>
    <row r="990" spans="4:16" x14ac:dyDescent="0.2">
      <c r="D990" s="54"/>
      <c r="G990" s="54"/>
      <c r="H990" s="54"/>
      <c r="I990" s="54"/>
      <c r="J990" s="54"/>
      <c r="K990" s="54"/>
      <c r="L990" s="54"/>
      <c r="M990" s="54"/>
      <c r="O990" s="56"/>
      <c r="P990" s="54"/>
    </row>
    <row r="991" spans="4:16" x14ac:dyDescent="0.2">
      <c r="D991" s="54"/>
      <c r="G991" s="54"/>
      <c r="H991" s="54"/>
      <c r="I991" s="54"/>
      <c r="J991" s="54"/>
      <c r="K991" s="54"/>
      <c r="L991" s="54"/>
      <c r="M991" s="54"/>
      <c r="O991" s="56"/>
      <c r="P991" s="54"/>
    </row>
    <row r="992" spans="4:16" x14ac:dyDescent="0.2">
      <c r="D992" s="54"/>
      <c r="G992" s="54"/>
      <c r="H992" s="54"/>
      <c r="I992" s="54"/>
      <c r="J992" s="54"/>
      <c r="K992" s="54"/>
      <c r="L992" s="54"/>
      <c r="M992" s="54"/>
      <c r="O992" s="56"/>
      <c r="P992" s="54"/>
    </row>
    <row r="993" spans="4:16" x14ac:dyDescent="0.2">
      <c r="D993" s="54"/>
      <c r="G993" s="54"/>
      <c r="H993" s="54"/>
      <c r="I993" s="54"/>
      <c r="J993" s="54"/>
      <c r="K993" s="54"/>
      <c r="L993" s="54"/>
      <c r="M993" s="54"/>
      <c r="O993" s="56"/>
      <c r="P993" s="54"/>
    </row>
    <row r="994" spans="4:16" x14ac:dyDescent="0.2">
      <c r="D994" s="54"/>
      <c r="G994" s="54"/>
      <c r="H994" s="54"/>
      <c r="I994" s="54"/>
      <c r="J994" s="54"/>
      <c r="K994" s="54"/>
      <c r="L994" s="54"/>
      <c r="M994" s="54"/>
      <c r="O994" s="56"/>
      <c r="P994" s="54"/>
    </row>
    <row r="995" spans="4:16" x14ac:dyDescent="0.2">
      <c r="D995" s="54"/>
      <c r="G995" s="54"/>
      <c r="H995" s="54"/>
      <c r="I995" s="54"/>
      <c r="J995" s="54"/>
      <c r="K995" s="54"/>
      <c r="L995" s="54"/>
      <c r="M995" s="54"/>
      <c r="O995" s="56"/>
      <c r="P995" s="54"/>
    </row>
    <row r="996" spans="4:16" x14ac:dyDescent="0.2">
      <c r="D996" s="54"/>
      <c r="G996" s="54"/>
      <c r="H996" s="54"/>
      <c r="I996" s="54"/>
      <c r="J996" s="54"/>
      <c r="K996" s="54"/>
      <c r="L996" s="54"/>
      <c r="M996" s="54"/>
      <c r="O996" s="56"/>
      <c r="P996" s="54"/>
    </row>
    <row r="997" spans="4:16" x14ac:dyDescent="0.2">
      <c r="D997" s="54"/>
      <c r="G997" s="54"/>
      <c r="H997" s="54"/>
      <c r="I997" s="54"/>
      <c r="J997" s="54"/>
      <c r="K997" s="54"/>
      <c r="L997" s="54"/>
      <c r="M997" s="54"/>
      <c r="O997" s="56"/>
      <c r="P997" s="54"/>
    </row>
    <row r="998" spans="4:16" x14ac:dyDescent="0.2">
      <c r="D998" s="54"/>
      <c r="G998" s="54"/>
      <c r="H998" s="54"/>
      <c r="I998" s="54"/>
      <c r="J998" s="54"/>
      <c r="K998" s="54"/>
      <c r="L998" s="54"/>
      <c r="M998" s="54"/>
      <c r="O998" s="56"/>
      <c r="P998" s="54"/>
    </row>
    <row r="999" spans="4:16" x14ac:dyDescent="0.2">
      <c r="D999" s="54"/>
      <c r="G999" s="54"/>
      <c r="H999" s="54"/>
      <c r="I999" s="54"/>
      <c r="J999" s="54"/>
      <c r="K999" s="54"/>
      <c r="L999" s="54"/>
      <c r="M999" s="54"/>
      <c r="O999" s="56"/>
      <c r="P999" s="54"/>
    </row>
    <row r="1000" spans="4:16" x14ac:dyDescent="0.2">
      <c r="D1000" s="54"/>
      <c r="G1000" s="54"/>
      <c r="H1000" s="54"/>
      <c r="I1000" s="54"/>
      <c r="J1000" s="54"/>
      <c r="K1000" s="54"/>
      <c r="L1000" s="54"/>
      <c r="M1000" s="54"/>
      <c r="O1000" s="56"/>
      <c r="P1000" s="54"/>
    </row>
    <row r="1001" spans="4:16" x14ac:dyDescent="0.2">
      <c r="D1001" s="54"/>
      <c r="G1001" s="54"/>
      <c r="H1001" s="54"/>
      <c r="I1001" s="54"/>
      <c r="J1001" s="54"/>
      <c r="K1001" s="54"/>
      <c r="L1001" s="54"/>
      <c r="M1001" s="54"/>
      <c r="O1001" s="56"/>
      <c r="P1001" s="54"/>
    </row>
    <row r="1002" spans="4:16" x14ac:dyDescent="0.2">
      <c r="D1002" s="54"/>
      <c r="G1002" s="54"/>
      <c r="H1002" s="54"/>
      <c r="I1002" s="54"/>
      <c r="J1002" s="54"/>
      <c r="K1002" s="54"/>
      <c r="L1002" s="54"/>
      <c r="M1002" s="54"/>
      <c r="O1002" s="56"/>
      <c r="P1002" s="54"/>
    </row>
    <row r="1003" spans="4:16" x14ac:dyDescent="0.2">
      <c r="D1003" s="54"/>
      <c r="G1003" s="54"/>
      <c r="H1003" s="54"/>
      <c r="I1003" s="54"/>
      <c r="J1003" s="54"/>
      <c r="K1003" s="54"/>
      <c r="L1003" s="54"/>
      <c r="M1003" s="54"/>
      <c r="O1003" s="56"/>
      <c r="P1003" s="54"/>
    </row>
    <row r="1004" spans="4:16" x14ac:dyDescent="0.2">
      <c r="D1004" s="54"/>
      <c r="G1004" s="54"/>
      <c r="H1004" s="54"/>
      <c r="I1004" s="54"/>
      <c r="J1004" s="54"/>
      <c r="K1004" s="54"/>
      <c r="L1004" s="54"/>
      <c r="M1004" s="54"/>
      <c r="O1004" s="56"/>
      <c r="P1004" s="54"/>
    </row>
    <row r="1005" spans="4:16" x14ac:dyDescent="0.2">
      <c r="D1005" s="54"/>
      <c r="G1005" s="54"/>
      <c r="H1005" s="54"/>
      <c r="I1005" s="54"/>
      <c r="J1005" s="54"/>
      <c r="K1005" s="54"/>
      <c r="L1005" s="54"/>
      <c r="M1005" s="54"/>
      <c r="O1005" s="56"/>
      <c r="P1005" s="54"/>
    </row>
    <row r="1006" spans="4:16" x14ac:dyDescent="0.2">
      <c r="D1006" s="54"/>
      <c r="G1006" s="54"/>
      <c r="H1006" s="54"/>
      <c r="I1006" s="54"/>
      <c r="J1006" s="54"/>
      <c r="K1006" s="54"/>
      <c r="L1006" s="54"/>
      <c r="M1006" s="54"/>
      <c r="O1006" s="56"/>
      <c r="P1006" s="54"/>
    </row>
    <row r="1007" spans="4:16" x14ac:dyDescent="0.2">
      <c r="D1007" s="54"/>
      <c r="G1007" s="54"/>
      <c r="H1007" s="54"/>
      <c r="I1007" s="54"/>
      <c r="J1007" s="54"/>
      <c r="K1007" s="54"/>
      <c r="L1007" s="54"/>
      <c r="M1007" s="54"/>
      <c r="O1007" s="56"/>
      <c r="P1007" s="54"/>
    </row>
    <row r="1008" spans="4:16" x14ac:dyDescent="0.2">
      <c r="D1008" s="54"/>
      <c r="G1008" s="54"/>
      <c r="H1008" s="54"/>
      <c r="I1008" s="54"/>
      <c r="J1008" s="54"/>
      <c r="K1008" s="54"/>
      <c r="L1008" s="54"/>
      <c r="M1008" s="54"/>
      <c r="O1008" s="56"/>
      <c r="P1008" s="54"/>
    </row>
    <row r="1009" spans="4:16" x14ac:dyDescent="0.2">
      <c r="D1009" s="54"/>
      <c r="G1009" s="54"/>
      <c r="H1009" s="54"/>
      <c r="I1009" s="54"/>
      <c r="J1009" s="54"/>
      <c r="K1009" s="54"/>
      <c r="L1009" s="54"/>
      <c r="M1009" s="54"/>
      <c r="O1009" s="56"/>
      <c r="P1009" s="54"/>
    </row>
    <row r="1010" spans="4:16" x14ac:dyDescent="0.2">
      <c r="D1010" s="54"/>
      <c r="G1010" s="54"/>
      <c r="H1010" s="54"/>
      <c r="I1010" s="54"/>
      <c r="J1010" s="54"/>
      <c r="K1010" s="54"/>
      <c r="L1010" s="54"/>
      <c r="M1010" s="54"/>
      <c r="O1010" s="56"/>
      <c r="P1010" s="54"/>
    </row>
    <row r="1011" spans="4:16" x14ac:dyDescent="0.2">
      <c r="D1011" s="54"/>
      <c r="G1011" s="54"/>
      <c r="H1011" s="54"/>
      <c r="I1011" s="54"/>
      <c r="J1011" s="54"/>
      <c r="K1011" s="54"/>
      <c r="L1011" s="54"/>
      <c r="M1011" s="54"/>
      <c r="O1011" s="56"/>
      <c r="P1011" s="54"/>
    </row>
    <row r="1012" spans="4:16" x14ac:dyDescent="0.2">
      <c r="D1012" s="54"/>
      <c r="G1012" s="54"/>
      <c r="H1012" s="54"/>
      <c r="I1012" s="54"/>
      <c r="J1012" s="54"/>
      <c r="K1012" s="54"/>
      <c r="L1012" s="54"/>
      <c r="M1012" s="54"/>
      <c r="O1012" s="56"/>
      <c r="P1012" s="54"/>
    </row>
    <row r="1013" spans="4:16" x14ac:dyDescent="0.2">
      <c r="D1013" s="54"/>
      <c r="G1013" s="54"/>
      <c r="H1013" s="54"/>
      <c r="I1013" s="54"/>
      <c r="J1013" s="54"/>
      <c r="K1013" s="54"/>
      <c r="L1013" s="54"/>
      <c r="M1013" s="54"/>
      <c r="O1013" s="56"/>
      <c r="P1013" s="54"/>
    </row>
    <row r="1014" spans="4:16" x14ac:dyDescent="0.2">
      <c r="D1014" s="54"/>
      <c r="G1014" s="54"/>
      <c r="H1014" s="54"/>
      <c r="I1014" s="54"/>
      <c r="J1014" s="54"/>
      <c r="K1014" s="54"/>
      <c r="L1014" s="54"/>
      <c r="M1014" s="54"/>
      <c r="O1014" s="56"/>
      <c r="P1014" s="54"/>
    </row>
    <row r="1015" spans="4:16" x14ac:dyDescent="0.2">
      <c r="D1015" s="54"/>
      <c r="G1015" s="54"/>
      <c r="H1015" s="54"/>
      <c r="I1015" s="54"/>
      <c r="J1015" s="54"/>
      <c r="K1015" s="54"/>
      <c r="L1015" s="54"/>
      <c r="M1015" s="54"/>
      <c r="O1015" s="56"/>
      <c r="P1015" s="54"/>
    </row>
    <row r="1016" spans="4:16" x14ac:dyDescent="0.2">
      <c r="D1016" s="54"/>
      <c r="G1016" s="54"/>
      <c r="H1016" s="54"/>
      <c r="I1016" s="54"/>
      <c r="J1016" s="54"/>
      <c r="K1016" s="54"/>
      <c r="L1016" s="54"/>
      <c r="M1016" s="54"/>
      <c r="O1016" s="56"/>
      <c r="P1016" s="54"/>
    </row>
    <row r="1017" spans="4:16" x14ac:dyDescent="0.2">
      <c r="D1017" s="54"/>
      <c r="G1017" s="54"/>
      <c r="H1017" s="54"/>
      <c r="I1017" s="54"/>
      <c r="J1017" s="54"/>
      <c r="K1017" s="54"/>
      <c r="L1017" s="54"/>
      <c r="M1017" s="54"/>
      <c r="O1017" s="56"/>
      <c r="P1017" s="54"/>
    </row>
    <row r="1018" spans="4:16" x14ac:dyDescent="0.2">
      <c r="D1018" s="54"/>
      <c r="G1018" s="54"/>
      <c r="H1018" s="54"/>
      <c r="I1018" s="54"/>
      <c r="J1018" s="54"/>
      <c r="K1018" s="54"/>
      <c r="L1018" s="54"/>
      <c r="M1018" s="54"/>
      <c r="O1018" s="56"/>
      <c r="P1018" s="54"/>
    </row>
    <row r="1019" spans="4:16" x14ac:dyDescent="0.2">
      <c r="D1019" s="54"/>
      <c r="G1019" s="54"/>
      <c r="H1019" s="54"/>
      <c r="I1019" s="54"/>
      <c r="J1019" s="54"/>
      <c r="K1019" s="54"/>
      <c r="L1019" s="54"/>
      <c r="M1019" s="54"/>
      <c r="O1019" s="56"/>
      <c r="P1019" s="54"/>
    </row>
    <row r="1020" spans="4:16" x14ac:dyDescent="0.2">
      <c r="D1020" s="54"/>
      <c r="G1020" s="54"/>
      <c r="H1020" s="54"/>
      <c r="I1020" s="54"/>
      <c r="J1020" s="54"/>
      <c r="K1020" s="54"/>
      <c r="L1020" s="54"/>
      <c r="M1020" s="54"/>
      <c r="O1020" s="56"/>
      <c r="P1020" s="54"/>
    </row>
    <row r="1021" spans="4:16" x14ac:dyDescent="0.2">
      <c r="D1021" s="54"/>
      <c r="G1021" s="54"/>
      <c r="H1021" s="54"/>
      <c r="I1021" s="54"/>
      <c r="J1021" s="54"/>
      <c r="K1021" s="54"/>
      <c r="L1021" s="54"/>
      <c r="M1021" s="54"/>
      <c r="O1021" s="56"/>
      <c r="P1021" s="54"/>
    </row>
    <row r="1022" spans="4:16" x14ac:dyDescent="0.2">
      <c r="D1022" s="54"/>
      <c r="G1022" s="54"/>
      <c r="H1022" s="54"/>
      <c r="I1022" s="54"/>
      <c r="J1022" s="54"/>
      <c r="K1022" s="54"/>
      <c r="L1022" s="54"/>
      <c r="M1022" s="54"/>
      <c r="O1022" s="56"/>
      <c r="P1022" s="54"/>
    </row>
    <row r="1023" spans="4:16" x14ac:dyDescent="0.2">
      <c r="D1023" s="54"/>
      <c r="G1023" s="54"/>
      <c r="H1023" s="54"/>
      <c r="I1023" s="54"/>
      <c r="J1023" s="54"/>
      <c r="K1023" s="54"/>
      <c r="L1023" s="54"/>
      <c r="M1023" s="54"/>
      <c r="O1023" s="56"/>
      <c r="P1023" s="54"/>
    </row>
    <row r="1024" spans="4:16" x14ac:dyDescent="0.2">
      <c r="D1024" s="54"/>
      <c r="G1024" s="54"/>
      <c r="H1024" s="54"/>
      <c r="I1024" s="54"/>
      <c r="J1024" s="54"/>
      <c r="K1024" s="54"/>
      <c r="L1024" s="54"/>
      <c r="M1024" s="54"/>
      <c r="O1024" s="56"/>
      <c r="P1024" s="54"/>
    </row>
    <row r="1025" spans="4:16" x14ac:dyDescent="0.2">
      <c r="D1025" s="54"/>
      <c r="G1025" s="54"/>
      <c r="H1025" s="54"/>
      <c r="I1025" s="54"/>
      <c r="J1025" s="54"/>
      <c r="K1025" s="54"/>
      <c r="L1025" s="54"/>
      <c r="M1025" s="54"/>
      <c r="O1025" s="56"/>
      <c r="P1025" s="54"/>
    </row>
    <row r="1026" spans="4:16" x14ac:dyDescent="0.2">
      <c r="D1026" s="54"/>
      <c r="G1026" s="54"/>
      <c r="H1026" s="54"/>
      <c r="I1026" s="54"/>
      <c r="J1026" s="54"/>
      <c r="K1026" s="54"/>
      <c r="L1026" s="54"/>
      <c r="M1026" s="54"/>
      <c r="O1026" s="56"/>
      <c r="P1026" s="54"/>
    </row>
    <row r="1027" spans="4:16" x14ac:dyDescent="0.2">
      <c r="D1027" s="54"/>
      <c r="G1027" s="54"/>
      <c r="H1027" s="54"/>
      <c r="I1027" s="54"/>
      <c r="J1027" s="54"/>
      <c r="K1027" s="54"/>
      <c r="L1027" s="54"/>
      <c r="M1027" s="54"/>
      <c r="O1027" s="56"/>
      <c r="P1027" s="54"/>
    </row>
    <row r="1028" spans="4:16" x14ac:dyDescent="0.2">
      <c r="D1028" s="54"/>
      <c r="G1028" s="54"/>
      <c r="H1028" s="54"/>
      <c r="I1028" s="54"/>
      <c r="J1028" s="54"/>
      <c r="K1028" s="54"/>
      <c r="L1028" s="54"/>
      <c r="M1028" s="54"/>
      <c r="O1028" s="56"/>
      <c r="P1028" s="54"/>
    </row>
    <row r="1029" spans="4:16" x14ac:dyDescent="0.2">
      <c r="D1029" s="54"/>
      <c r="G1029" s="54"/>
      <c r="H1029" s="54"/>
      <c r="I1029" s="54"/>
      <c r="J1029" s="54"/>
      <c r="K1029" s="54"/>
      <c r="L1029" s="54"/>
      <c r="M1029" s="54"/>
      <c r="O1029" s="56"/>
      <c r="P1029" s="54"/>
    </row>
    <row r="1030" spans="4:16" x14ac:dyDescent="0.2">
      <c r="D1030" s="54"/>
      <c r="G1030" s="54"/>
      <c r="H1030" s="54"/>
      <c r="I1030" s="54"/>
      <c r="J1030" s="54"/>
      <c r="K1030" s="54"/>
      <c r="L1030" s="54"/>
      <c r="M1030" s="54"/>
      <c r="O1030" s="56"/>
      <c r="P1030" s="54"/>
    </row>
    <row r="1031" spans="4:16" x14ac:dyDescent="0.2">
      <c r="D1031" s="54"/>
      <c r="G1031" s="54"/>
      <c r="H1031" s="54"/>
      <c r="I1031" s="54"/>
      <c r="J1031" s="54"/>
      <c r="K1031" s="54"/>
      <c r="L1031" s="54"/>
      <c r="M1031" s="54"/>
      <c r="O1031" s="56"/>
      <c r="P1031" s="54"/>
    </row>
    <row r="1032" spans="4:16" x14ac:dyDescent="0.2">
      <c r="D1032" s="54"/>
      <c r="G1032" s="54"/>
      <c r="H1032" s="54"/>
      <c r="I1032" s="54"/>
      <c r="J1032" s="54"/>
      <c r="K1032" s="54"/>
      <c r="L1032" s="54"/>
      <c r="M1032" s="54"/>
      <c r="O1032" s="56"/>
      <c r="P1032" s="54"/>
    </row>
    <row r="1033" spans="4:16" x14ac:dyDescent="0.2">
      <c r="D1033" s="54"/>
      <c r="G1033" s="54"/>
      <c r="H1033" s="54"/>
      <c r="I1033" s="54"/>
      <c r="J1033" s="54"/>
      <c r="K1033" s="54"/>
      <c r="L1033" s="54"/>
      <c r="M1033" s="54"/>
      <c r="O1033" s="56"/>
      <c r="P1033" s="54"/>
    </row>
    <row r="1034" spans="4:16" x14ac:dyDescent="0.2">
      <c r="D1034" s="54"/>
      <c r="G1034" s="54"/>
      <c r="H1034" s="54"/>
      <c r="I1034" s="54"/>
      <c r="J1034" s="54"/>
      <c r="K1034" s="54"/>
      <c r="L1034" s="54"/>
      <c r="M1034" s="54"/>
      <c r="O1034" s="56"/>
      <c r="P1034" s="54"/>
    </row>
    <row r="1035" spans="4:16" x14ac:dyDescent="0.2">
      <c r="D1035" s="54"/>
      <c r="G1035" s="54"/>
      <c r="H1035" s="54"/>
      <c r="I1035" s="54"/>
      <c r="J1035" s="54"/>
      <c r="K1035" s="54"/>
      <c r="L1035" s="54"/>
      <c r="M1035" s="54"/>
      <c r="O1035" s="56"/>
      <c r="P1035" s="54"/>
    </row>
    <row r="1036" spans="4:16" x14ac:dyDescent="0.2">
      <c r="D1036" s="54"/>
      <c r="G1036" s="54"/>
      <c r="H1036" s="54"/>
      <c r="I1036" s="54"/>
      <c r="J1036" s="54"/>
      <c r="K1036" s="54"/>
      <c r="L1036" s="54"/>
      <c r="M1036" s="54"/>
      <c r="O1036" s="56"/>
      <c r="P1036" s="54"/>
    </row>
    <row r="1037" spans="4:16" x14ac:dyDescent="0.2">
      <c r="D1037" s="54"/>
      <c r="G1037" s="54"/>
      <c r="H1037" s="54"/>
      <c r="I1037" s="54"/>
      <c r="J1037" s="54"/>
      <c r="K1037" s="54"/>
      <c r="L1037" s="54"/>
      <c r="M1037" s="54"/>
      <c r="O1037" s="56"/>
      <c r="P1037" s="54"/>
    </row>
    <row r="1038" spans="4:16" x14ac:dyDescent="0.2">
      <c r="D1038" s="54"/>
      <c r="G1038" s="54"/>
      <c r="H1038" s="54"/>
      <c r="I1038" s="54"/>
      <c r="J1038" s="54"/>
      <c r="K1038" s="54"/>
      <c r="L1038" s="54"/>
      <c r="M1038" s="54"/>
      <c r="O1038" s="56"/>
      <c r="P1038" s="54"/>
    </row>
    <row r="1039" spans="4:16" x14ac:dyDescent="0.2">
      <c r="D1039" s="54"/>
      <c r="G1039" s="54"/>
      <c r="H1039" s="54"/>
      <c r="I1039" s="54"/>
      <c r="J1039" s="54"/>
      <c r="K1039" s="54"/>
      <c r="L1039" s="54"/>
      <c r="M1039" s="54"/>
      <c r="O1039" s="56"/>
      <c r="P1039" s="54"/>
    </row>
    <row r="1040" spans="4:16" x14ac:dyDescent="0.2">
      <c r="D1040" s="54"/>
      <c r="G1040" s="54"/>
      <c r="H1040" s="54"/>
      <c r="I1040" s="54"/>
      <c r="J1040" s="54"/>
      <c r="K1040" s="54"/>
      <c r="L1040" s="54"/>
      <c r="M1040" s="54"/>
      <c r="O1040" s="56"/>
      <c r="P1040" s="54"/>
    </row>
    <row r="1041" spans="4:16" x14ac:dyDescent="0.2">
      <c r="D1041" s="54"/>
      <c r="G1041" s="54"/>
      <c r="H1041" s="54"/>
      <c r="I1041" s="54"/>
      <c r="J1041" s="54"/>
      <c r="K1041" s="54"/>
      <c r="L1041" s="54"/>
      <c r="M1041" s="54"/>
      <c r="O1041" s="56"/>
      <c r="P1041" s="54"/>
    </row>
    <row r="1042" spans="4:16" x14ac:dyDescent="0.2">
      <c r="D1042" s="54"/>
      <c r="G1042" s="54"/>
      <c r="H1042" s="54"/>
      <c r="I1042" s="54"/>
      <c r="J1042" s="54"/>
      <c r="K1042" s="54"/>
      <c r="L1042" s="54"/>
      <c r="M1042" s="54"/>
      <c r="O1042" s="56"/>
      <c r="P1042" s="54"/>
    </row>
    <row r="1043" spans="4:16" x14ac:dyDescent="0.2">
      <c r="D1043" s="54"/>
      <c r="G1043" s="54"/>
      <c r="H1043" s="54"/>
      <c r="I1043" s="54"/>
      <c r="J1043" s="54"/>
      <c r="K1043" s="54"/>
      <c r="L1043" s="54"/>
      <c r="M1043" s="54"/>
      <c r="O1043" s="56"/>
      <c r="P1043" s="54"/>
    </row>
    <row r="1044" spans="4:16" x14ac:dyDescent="0.2">
      <c r="D1044" s="54"/>
      <c r="G1044" s="54"/>
      <c r="H1044" s="54"/>
      <c r="I1044" s="54"/>
      <c r="J1044" s="54"/>
      <c r="K1044" s="54"/>
      <c r="L1044" s="54"/>
      <c r="M1044" s="54"/>
      <c r="O1044" s="56"/>
      <c r="P1044" s="54"/>
    </row>
    <row r="1045" spans="4:16" x14ac:dyDescent="0.2">
      <c r="D1045" s="54"/>
      <c r="G1045" s="54"/>
      <c r="H1045" s="54"/>
      <c r="I1045" s="54"/>
      <c r="J1045" s="54"/>
      <c r="K1045" s="54"/>
      <c r="L1045" s="54"/>
      <c r="M1045" s="54"/>
      <c r="O1045" s="56"/>
      <c r="P1045" s="54"/>
    </row>
    <row r="1046" spans="4:16" x14ac:dyDescent="0.2">
      <c r="D1046" s="54"/>
      <c r="G1046" s="54"/>
      <c r="H1046" s="54"/>
      <c r="I1046" s="54"/>
      <c r="J1046" s="54"/>
      <c r="K1046" s="54"/>
      <c r="L1046" s="54"/>
      <c r="M1046" s="54"/>
      <c r="O1046" s="56"/>
      <c r="P1046" s="54"/>
    </row>
    <row r="1047" spans="4:16" x14ac:dyDescent="0.2">
      <c r="D1047" s="54"/>
      <c r="G1047" s="54"/>
      <c r="H1047" s="54"/>
      <c r="I1047" s="54"/>
      <c r="J1047" s="54"/>
      <c r="K1047" s="54"/>
      <c r="L1047" s="54"/>
      <c r="M1047" s="54"/>
      <c r="O1047" s="56"/>
      <c r="P1047" s="54"/>
    </row>
    <row r="1048" spans="4:16" x14ac:dyDescent="0.2">
      <c r="D1048" s="54"/>
      <c r="G1048" s="54"/>
      <c r="H1048" s="54"/>
      <c r="I1048" s="54"/>
      <c r="J1048" s="54"/>
      <c r="K1048" s="54"/>
      <c r="L1048" s="54"/>
      <c r="M1048" s="54"/>
      <c r="O1048" s="56"/>
      <c r="P1048" s="54"/>
    </row>
    <row r="1049" spans="4:16" x14ac:dyDescent="0.2">
      <c r="D1049" s="54"/>
      <c r="G1049" s="54"/>
      <c r="H1049" s="54"/>
      <c r="I1049" s="54"/>
      <c r="J1049" s="54"/>
      <c r="K1049" s="54"/>
      <c r="L1049" s="54"/>
      <c r="M1049" s="54"/>
      <c r="O1049" s="56"/>
      <c r="P1049" s="54"/>
    </row>
    <row r="1050" spans="4:16" x14ac:dyDescent="0.2">
      <c r="D1050" s="54"/>
      <c r="G1050" s="54"/>
      <c r="H1050" s="54"/>
      <c r="I1050" s="54"/>
      <c r="J1050" s="54"/>
      <c r="K1050" s="54"/>
      <c r="L1050" s="54"/>
      <c r="M1050" s="54"/>
      <c r="O1050" s="56"/>
      <c r="P1050" s="54"/>
    </row>
    <row r="1051" spans="4:16" x14ac:dyDescent="0.2">
      <c r="D1051" s="54"/>
      <c r="G1051" s="54"/>
      <c r="H1051" s="54"/>
      <c r="I1051" s="54"/>
      <c r="J1051" s="54"/>
      <c r="K1051" s="54"/>
      <c r="L1051" s="54"/>
      <c r="M1051" s="54"/>
      <c r="O1051" s="56"/>
      <c r="P1051" s="54"/>
    </row>
    <row r="1052" spans="4:16" x14ac:dyDescent="0.2">
      <c r="D1052" s="54"/>
      <c r="G1052" s="54"/>
      <c r="H1052" s="54"/>
      <c r="I1052" s="54"/>
      <c r="J1052" s="54"/>
      <c r="K1052" s="54"/>
      <c r="L1052" s="54"/>
      <c r="M1052" s="54"/>
      <c r="O1052" s="56"/>
      <c r="P1052" s="54"/>
    </row>
    <row r="1053" spans="4:16" x14ac:dyDescent="0.2">
      <c r="D1053" s="54"/>
      <c r="G1053" s="54"/>
      <c r="H1053" s="54"/>
      <c r="I1053" s="54"/>
      <c r="J1053" s="54"/>
      <c r="K1053" s="54"/>
      <c r="L1053" s="54"/>
      <c r="M1053" s="54"/>
      <c r="O1053" s="56"/>
      <c r="P1053" s="54"/>
    </row>
    <row r="1054" spans="4:16" x14ac:dyDescent="0.2">
      <c r="D1054" s="54"/>
      <c r="G1054" s="54"/>
      <c r="H1054" s="54"/>
      <c r="I1054" s="54"/>
      <c r="J1054" s="54"/>
      <c r="K1054" s="54"/>
      <c r="L1054" s="54"/>
      <c r="M1054" s="54"/>
      <c r="O1054" s="56"/>
      <c r="P1054" s="54"/>
    </row>
    <row r="1055" spans="4:16" x14ac:dyDescent="0.2">
      <c r="D1055" s="54"/>
      <c r="G1055" s="54"/>
      <c r="H1055" s="54"/>
      <c r="I1055" s="54"/>
      <c r="J1055" s="54"/>
      <c r="K1055" s="54"/>
      <c r="L1055" s="54"/>
      <c r="M1055" s="54"/>
      <c r="O1055" s="56"/>
      <c r="P1055" s="54"/>
    </row>
    <row r="1056" spans="4:16" x14ac:dyDescent="0.2">
      <c r="D1056" s="54"/>
      <c r="G1056" s="54"/>
      <c r="H1056" s="54"/>
      <c r="I1056" s="54"/>
      <c r="J1056" s="54"/>
      <c r="K1056" s="54"/>
      <c r="L1056" s="54"/>
      <c r="M1056" s="54"/>
      <c r="O1056" s="56"/>
      <c r="P1056" s="54"/>
    </row>
    <row r="1057" spans="4:16" x14ac:dyDescent="0.2">
      <c r="D1057" s="54"/>
      <c r="G1057" s="54"/>
      <c r="H1057" s="54"/>
      <c r="I1057" s="54"/>
      <c r="J1057" s="54"/>
      <c r="K1057" s="54"/>
      <c r="L1057" s="54"/>
      <c r="M1057" s="54"/>
      <c r="O1057" s="56"/>
      <c r="P1057" s="54"/>
    </row>
    <row r="1058" spans="4:16" x14ac:dyDescent="0.2">
      <c r="D1058" s="54"/>
      <c r="G1058" s="54"/>
      <c r="H1058" s="54"/>
      <c r="I1058" s="54"/>
      <c r="J1058" s="54"/>
      <c r="K1058" s="54"/>
      <c r="L1058" s="54"/>
      <c r="M1058" s="54"/>
      <c r="O1058" s="56"/>
      <c r="P1058" s="54"/>
    </row>
    <row r="1059" spans="4:16" x14ac:dyDescent="0.2">
      <c r="D1059" s="54"/>
      <c r="G1059" s="54"/>
      <c r="H1059" s="54"/>
      <c r="I1059" s="54"/>
      <c r="J1059" s="54"/>
      <c r="K1059" s="54"/>
      <c r="L1059" s="54"/>
      <c r="M1059" s="54"/>
      <c r="O1059" s="56"/>
      <c r="P1059" s="54"/>
    </row>
    <row r="1060" spans="4:16" x14ac:dyDescent="0.2">
      <c r="D1060" s="54"/>
      <c r="G1060" s="54"/>
      <c r="H1060" s="54"/>
      <c r="I1060" s="54"/>
      <c r="J1060" s="54"/>
      <c r="K1060" s="54"/>
      <c r="L1060" s="54"/>
      <c r="M1060" s="54"/>
      <c r="O1060" s="56"/>
      <c r="P1060" s="54"/>
    </row>
    <row r="1061" spans="4:16" x14ac:dyDescent="0.2">
      <c r="D1061" s="54"/>
      <c r="G1061" s="54"/>
      <c r="H1061" s="54"/>
      <c r="I1061" s="54"/>
      <c r="J1061" s="54"/>
      <c r="K1061" s="54"/>
      <c r="L1061" s="54"/>
      <c r="M1061" s="54"/>
      <c r="O1061" s="56"/>
      <c r="P1061" s="54"/>
    </row>
    <row r="1062" spans="4:16" x14ac:dyDescent="0.2">
      <c r="D1062" s="54"/>
      <c r="G1062" s="54"/>
      <c r="H1062" s="54"/>
      <c r="I1062" s="54"/>
      <c r="J1062" s="54"/>
      <c r="K1062" s="54"/>
      <c r="L1062" s="54"/>
      <c r="M1062" s="54"/>
      <c r="O1062" s="56"/>
      <c r="P1062" s="54"/>
    </row>
    <row r="1063" spans="4:16" x14ac:dyDescent="0.2">
      <c r="D1063" s="54"/>
      <c r="G1063" s="54"/>
      <c r="H1063" s="54"/>
      <c r="I1063" s="54"/>
      <c r="J1063" s="54"/>
      <c r="K1063" s="54"/>
      <c r="L1063" s="54"/>
      <c r="M1063" s="54"/>
      <c r="O1063" s="56"/>
      <c r="P1063" s="54"/>
    </row>
    <row r="1064" spans="4:16" x14ac:dyDescent="0.2">
      <c r="D1064" s="54"/>
      <c r="G1064" s="54"/>
      <c r="H1064" s="54"/>
      <c r="I1064" s="54"/>
      <c r="J1064" s="54"/>
      <c r="K1064" s="54"/>
      <c r="L1064" s="54"/>
      <c r="M1064" s="54"/>
      <c r="O1064" s="56"/>
      <c r="P1064" s="54"/>
    </row>
    <row r="1065" spans="4:16" x14ac:dyDescent="0.2">
      <c r="D1065" s="54"/>
      <c r="G1065" s="54"/>
      <c r="H1065" s="54"/>
      <c r="I1065" s="54"/>
      <c r="J1065" s="54"/>
      <c r="K1065" s="54"/>
      <c r="L1065" s="54"/>
      <c r="M1065" s="54"/>
      <c r="O1065" s="56"/>
      <c r="P1065" s="54"/>
    </row>
    <row r="1066" spans="4:16" x14ac:dyDescent="0.2">
      <c r="D1066" s="54"/>
      <c r="G1066" s="54"/>
      <c r="H1066" s="54"/>
      <c r="I1066" s="54"/>
      <c r="J1066" s="54"/>
      <c r="K1066" s="54"/>
      <c r="L1066" s="54"/>
      <c r="M1066" s="54"/>
      <c r="O1066" s="56"/>
      <c r="P1066" s="54"/>
    </row>
    <row r="1067" spans="4:16" x14ac:dyDescent="0.2">
      <c r="D1067" s="54"/>
      <c r="G1067" s="54"/>
      <c r="H1067" s="54"/>
      <c r="I1067" s="54"/>
      <c r="J1067" s="54"/>
      <c r="K1067" s="54"/>
      <c r="L1067" s="54"/>
      <c r="M1067" s="54"/>
      <c r="O1067" s="56"/>
      <c r="P1067" s="54"/>
    </row>
    <row r="1068" spans="4:16" x14ac:dyDescent="0.2">
      <c r="D1068" s="54"/>
      <c r="G1068" s="54"/>
      <c r="H1068" s="54"/>
      <c r="I1068" s="54"/>
      <c r="J1068" s="54"/>
      <c r="K1068" s="54"/>
      <c r="L1068" s="54"/>
      <c r="M1068" s="54"/>
      <c r="O1068" s="56"/>
      <c r="P1068" s="54"/>
    </row>
    <row r="1069" spans="4:16" x14ac:dyDescent="0.2">
      <c r="D1069" s="54"/>
      <c r="G1069" s="54"/>
      <c r="H1069" s="54"/>
      <c r="I1069" s="54"/>
      <c r="J1069" s="54"/>
      <c r="K1069" s="54"/>
      <c r="L1069" s="54"/>
      <c r="M1069" s="54"/>
      <c r="O1069" s="56"/>
      <c r="P1069" s="54"/>
    </row>
    <row r="1070" spans="4:16" x14ac:dyDescent="0.2">
      <c r="D1070" s="54"/>
      <c r="G1070" s="54"/>
      <c r="H1070" s="54"/>
      <c r="I1070" s="54"/>
      <c r="J1070" s="54"/>
      <c r="K1070" s="54"/>
      <c r="L1070" s="54"/>
      <c r="M1070" s="54"/>
      <c r="O1070" s="56"/>
      <c r="P1070" s="54"/>
    </row>
    <row r="1071" spans="4:16" x14ac:dyDescent="0.2">
      <c r="D1071" s="54"/>
      <c r="G1071" s="54"/>
      <c r="H1071" s="54"/>
      <c r="I1071" s="54"/>
      <c r="J1071" s="54"/>
      <c r="K1071" s="54"/>
      <c r="L1071" s="54"/>
      <c r="M1071" s="54"/>
      <c r="O1071" s="56"/>
      <c r="P1071" s="54"/>
    </row>
    <row r="1072" spans="4:16" x14ac:dyDescent="0.2">
      <c r="D1072" s="54"/>
      <c r="G1072" s="54"/>
      <c r="H1072" s="54"/>
      <c r="I1072" s="54"/>
      <c r="J1072" s="54"/>
      <c r="K1072" s="54"/>
      <c r="L1072" s="54"/>
      <c r="M1072" s="54"/>
      <c r="O1072" s="56"/>
      <c r="P1072" s="54"/>
    </row>
    <row r="1073" spans="4:16" x14ac:dyDescent="0.2">
      <c r="D1073" s="54"/>
      <c r="G1073" s="54"/>
      <c r="H1073" s="54"/>
      <c r="I1073" s="54"/>
      <c r="J1073" s="54"/>
      <c r="K1073" s="54"/>
      <c r="L1073" s="54"/>
      <c r="M1073" s="54"/>
      <c r="O1073" s="56"/>
      <c r="P1073" s="54"/>
    </row>
    <row r="1074" spans="4:16" x14ac:dyDescent="0.2">
      <c r="D1074" s="54"/>
      <c r="G1074" s="54"/>
      <c r="H1074" s="54"/>
      <c r="I1074" s="54"/>
      <c r="J1074" s="54"/>
      <c r="K1074" s="54"/>
      <c r="L1074" s="54"/>
      <c r="M1074" s="54"/>
      <c r="O1074" s="56"/>
      <c r="P1074" s="54"/>
    </row>
    <row r="1075" spans="4:16" x14ac:dyDescent="0.2">
      <c r="D1075" s="54"/>
      <c r="G1075" s="54"/>
      <c r="H1075" s="54"/>
      <c r="I1075" s="54"/>
      <c r="J1075" s="54"/>
      <c r="K1075" s="54"/>
      <c r="L1075" s="54"/>
      <c r="M1075" s="54"/>
      <c r="O1075" s="56"/>
      <c r="P1075" s="54"/>
    </row>
    <row r="1076" spans="4:16" x14ac:dyDescent="0.2">
      <c r="D1076" s="54"/>
      <c r="G1076" s="54"/>
      <c r="H1076" s="54"/>
      <c r="I1076" s="54"/>
      <c r="J1076" s="54"/>
      <c r="K1076" s="54"/>
      <c r="L1076" s="54"/>
      <c r="M1076" s="54"/>
      <c r="O1076" s="56"/>
      <c r="P1076" s="54"/>
    </row>
    <row r="1077" spans="4:16" x14ac:dyDescent="0.2">
      <c r="D1077" s="54"/>
      <c r="G1077" s="54"/>
      <c r="H1077" s="54"/>
      <c r="I1077" s="54"/>
      <c r="J1077" s="54"/>
      <c r="K1077" s="54"/>
      <c r="L1077" s="54"/>
      <c r="M1077" s="54"/>
      <c r="O1077" s="56"/>
      <c r="P1077" s="54"/>
    </row>
    <row r="1078" spans="4:16" x14ac:dyDescent="0.2">
      <c r="D1078" s="54"/>
      <c r="G1078" s="54"/>
      <c r="H1078" s="54"/>
      <c r="I1078" s="54"/>
      <c r="J1078" s="54"/>
      <c r="K1078" s="54"/>
      <c r="L1078" s="54"/>
      <c r="M1078" s="54"/>
      <c r="O1078" s="56"/>
      <c r="P1078" s="54"/>
    </row>
    <row r="1079" spans="4:16" x14ac:dyDescent="0.2">
      <c r="D1079" s="54"/>
      <c r="G1079" s="54"/>
      <c r="H1079" s="54"/>
      <c r="I1079" s="54"/>
      <c r="J1079" s="54"/>
      <c r="K1079" s="54"/>
      <c r="L1079" s="54"/>
      <c r="M1079" s="54"/>
      <c r="O1079" s="56"/>
      <c r="P1079" s="54"/>
    </row>
    <row r="1080" spans="4:16" x14ac:dyDescent="0.2">
      <c r="D1080" s="54"/>
      <c r="G1080" s="54"/>
      <c r="H1080" s="54"/>
      <c r="I1080" s="54"/>
      <c r="J1080" s="54"/>
      <c r="K1080" s="54"/>
      <c r="L1080" s="54"/>
      <c r="M1080" s="54"/>
      <c r="O1080" s="56"/>
      <c r="P1080" s="54"/>
    </row>
    <row r="1081" spans="4:16" x14ac:dyDescent="0.2">
      <c r="D1081" s="54"/>
      <c r="G1081" s="54"/>
      <c r="H1081" s="54"/>
      <c r="I1081" s="54"/>
      <c r="J1081" s="54"/>
      <c r="K1081" s="54"/>
      <c r="L1081" s="54"/>
      <c r="M1081" s="54"/>
      <c r="O1081" s="56"/>
      <c r="P1081" s="54"/>
    </row>
    <row r="1082" spans="4:16" x14ac:dyDescent="0.2">
      <c r="D1082" s="54"/>
      <c r="G1082" s="54"/>
      <c r="H1082" s="54"/>
      <c r="I1082" s="54"/>
      <c r="J1082" s="54"/>
      <c r="K1082" s="54"/>
      <c r="L1082" s="54"/>
      <c r="M1082" s="54"/>
      <c r="O1082" s="56"/>
      <c r="P1082" s="54"/>
    </row>
    <row r="1083" spans="4:16" x14ac:dyDescent="0.2">
      <c r="D1083" s="54"/>
      <c r="G1083" s="54"/>
      <c r="H1083" s="54"/>
      <c r="I1083" s="54"/>
      <c r="J1083" s="54"/>
      <c r="K1083" s="54"/>
      <c r="L1083" s="54"/>
      <c r="M1083" s="54"/>
      <c r="O1083" s="56"/>
      <c r="P1083" s="54"/>
    </row>
    <row r="1084" spans="4:16" x14ac:dyDescent="0.2">
      <c r="D1084" s="54"/>
      <c r="G1084" s="54"/>
      <c r="H1084" s="54"/>
      <c r="I1084" s="54"/>
      <c r="J1084" s="54"/>
      <c r="K1084" s="54"/>
      <c r="L1084" s="54"/>
      <c r="M1084" s="54"/>
      <c r="O1084" s="56"/>
      <c r="P1084" s="54"/>
    </row>
    <row r="1085" spans="4:16" x14ac:dyDescent="0.2">
      <c r="D1085" s="54"/>
      <c r="G1085" s="54"/>
      <c r="H1085" s="54"/>
      <c r="I1085" s="54"/>
      <c r="J1085" s="54"/>
      <c r="K1085" s="54"/>
      <c r="L1085" s="54"/>
      <c r="M1085" s="54"/>
      <c r="O1085" s="56"/>
      <c r="P1085" s="54"/>
    </row>
    <row r="1086" spans="4:16" x14ac:dyDescent="0.2">
      <c r="D1086" s="54"/>
      <c r="G1086" s="54"/>
      <c r="H1086" s="54"/>
      <c r="I1086" s="54"/>
      <c r="J1086" s="54"/>
      <c r="K1086" s="54"/>
      <c r="L1086" s="54"/>
      <c r="M1086" s="54"/>
      <c r="O1086" s="56"/>
      <c r="P1086" s="54"/>
    </row>
    <row r="1087" spans="4:16" x14ac:dyDescent="0.2">
      <c r="D1087" s="54"/>
      <c r="G1087" s="54"/>
      <c r="H1087" s="54"/>
      <c r="I1087" s="54"/>
      <c r="J1087" s="54"/>
      <c r="K1087" s="54"/>
      <c r="L1087" s="54"/>
      <c r="M1087" s="54"/>
      <c r="O1087" s="56"/>
      <c r="P1087" s="54"/>
    </row>
    <row r="1088" spans="4:16" x14ac:dyDescent="0.2">
      <c r="D1088" s="54"/>
      <c r="G1088" s="54"/>
      <c r="H1088" s="54"/>
      <c r="I1088" s="54"/>
      <c r="J1088" s="54"/>
      <c r="K1088" s="54"/>
      <c r="L1088" s="54"/>
      <c r="M1088" s="54"/>
      <c r="O1088" s="56"/>
      <c r="P1088" s="54"/>
    </row>
    <row r="1089" spans="4:16" x14ac:dyDescent="0.2">
      <c r="D1089" s="54"/>
      <c r="G1089" s="54"/>
      <c r="H1089" s="54"/>
      <c r="I1089" s="54"/>
      <c r="J1089" s="54"/>
      <c r="K1089" s="54"/>
      <c r="L1089" s="54"/>
      <c r="M1089" s="54"/>
      <c r="O1089" s="56"/>
      <c r="P1089" s="54"/>
    </row>
    <row r="1090" spans="4:16" x14ac:dyDescent="0.2">
      <c r="D1090" s="54"/>
      <c r="G1090" s="54"/>
      <c r="H1090" s="54"/>
      <c r="I1090" s="54"/>
      <c r="J1090" s="54"/>
      <c r="K1090" s="54"/>
      <c r="L1090" s="54"/>
      <c r="M1090" s="54"/>
      <c r="O1090" s="56"/>
      <c r="P1090" s="54"/>
    </row>
    <row r="1091" spans="4:16" x14ac:dyDescent="0.2">
      <c r="D1091" s="54"/>
      <c r="G1091" s="54"/>
      <c r="H1091" s="54"/>
      <c r="I1091" s="54"/>
      <c r="J1091" s="54"/>
      <c r="K1091" s="54"/>
      <c r="L1091" s="54"/>
      <c r="M1091" s="54"/>
      <c r="O1091" s="56"/>
      <c r="P1091" s="54"/>
    </row>
    <row r="1092" spans="4:16" x14ac:dyDescent="0.2">
      <c r="D1092" s="54"/>
      <c r="G1092" s="54"/>
      <c r="H1092" s="54"/>
      <c r="I1092" s="54"/>
      <c r="J1092" s="54"/>
      <c r="K1092" s="54"/>
      <c r="L1092" s="54"/>
      <c r="M1092" s="54"/>
      <c r="O1092" s="56"/>
      <c r="P1092" s="54"/>
    </row>
    <row r="1093" spans="4:16" x14ac:dyDescent="0.2">
      <c r="D1093" s="54"/>
      <c r="G1093" s="54"/>
      <c r="H1093" s="54"/>
      <c r="I1093" s="54"/>
      <c r="J1093" s="54"/>
      <c r="K1093" s="54"/>
      <c r="L1093" s="54"/>
      <c r="M1093" s="54"/>
      <c r="O1093" s="56"/>
      <c r="P1093" s="54"/>
    </row>
    <row r="1094" spans="4:16" x14ac:dyDescent="0.2">
      <c r="D1094" s="54"/>
      <c r="G1094" s="54"/>
      <c r="H1094" s="54"/>
      <c r="I1094" s="54"/>
      <c r="J1094" s="54"/>
      <c r="K1094" s="54"/>
      <c r="L1094" s="54"/>
      <c r="M1094" s="54"/>
      <c r="O1094" s="56"/>
      <c r="P1094" s="54"/>
    </row>
    <row r="1095" spans="4:16" x14ac:dyDescent="0.2">
      <c r="D1095" s="54"/>
      <c r="G1095" s="54"/>
      <c r="H1095" s="54"/>
      <c r="I1095" s="54"/>
      <c r="J1095" s="54"/>
      <c r="K1095" s="54"/>
      <c r="L1095" s="54"/>
      <c r="M1095" s="54"/>
      <c r="O1095" s="56"/>
      <c r="P1095" s="54"/>
    </row>
    <row r="1096" spans="4:16" x14ac:dyDescent="0.2">
      <c r="D1096" s="54"/>
      <c r="G1096" s="54"/>
      <c r="H1096" s="54"/>
      <c r="I1096" s="54"/>
      <c r="J1096" s="54"/>
      <c r="K1096" s="54"/>
      <c r="L1096" s="54"/>
      <c r="M1096" s="54"/>
      <c r="O1096" s="56"/>
      <c r="P1096" s="54"/>
    </row>
    <row r="1097" spans="4:16" x14ac:dyDescent="0.2">
      <c r="D1097" s="54"/>
      <c r="G1097" s="54"/>
      <c r="H1097" s="54"/>
      <c r="I1097" s="54"/>
      <c r="J1097" s="54"/>
      <c r="K1097" s="54"/>
      <c r="L1097" s="54"/>
      <c r="M1097" s="54"/>
      <c r="O1097" s="56"/>
      <c r="P1097" s="54"/>
    </row>
    <row r="1098" spans="4:16" x14ac:dyDescent="0.2">
      <c r="D1098" s="54"/>
      <c r="G1098" s="54"/>
      <c r="H1098" s="54"/>
      <c r="I1098" s="54"/>
      <c r="J1098" s="54"/>
      <c r="K1098" s="54"/>
      <c r="L1098" s="54"/>
      <c r="M1098" s="54"/>
      <c r="O1098" s="56"/>
      <c r="P1098" s="54"/>
    </row>
    <row r="1099" spans="4:16" x14ac:dyDescent="0.2">
      <c r="D1099" s="54"/>
      <c r="G1099" s="54"/>
      <c r="H1099" s="54"/>
      <c r="I1099" s="54"/>
      <c r="J1099" s="54"/>
      <c r="K1099" s="54"/>
      <c r="L1099" s="54"/>
      <c r="M1099" s="54"/>
      <c r="O1099" s="56"/>
      <c r="P1099" s="54"/>
    </row>
    <row r="1100" spans="4:16" x14ac:dyDescent="0.2">
      <c r="D1100" s="54"/>
      <c r="G1100" s="54"/>
      <c r="H1100" s="54"/>
      <c r="I1100" s="54"/>
      <c r="J1100" s="54"/>
      <c r="K1100" s="54"/>
      <c r="L1100" s="54"/>
      <c r="M1100" s="54"/>
      <c r="O1100" s="56"/>
      <c r="P1100" s="54"/>
    </row>
    <row r="1101" spans="4:16" x14ac:dyDescent="0.2">
      <c r="D1101" s="54"/>
      <c r="G1101" s="54"/>
      <c r="H1101" s="54"/>
      <c r="I1101" s="54"/>
      <c r="J1101" s="54"/>
      <c r="K1101" s="54"/>
      <c r="L1101" s="54"/>
      <c r="M1101" s="54"/>
      <c r="O1101" s="56"/>
      <c r="P1101" s="54"/>
    </row>
    <row r="1102" spans="4:16" x14ac:dyDescent="0.2">
      <c r="D1102" s="54"/>
      <c r="G1102" s="54"/>
      <c r="H1102" s="54"/>
      <c r="I1102" s="54"/>
      <c r="J1102" s="54"/>
      <c r="K1102" s="54"/>
      <c r="L1102" s="54"/>
      <c r="M1102" s="54"/>
      <c r="O1102" s="56"/>
      <c r="P1102" s="54"/>
    </row>
    <row r="1103" spans="4:16" x14ac:dyDescent="0.2">
      <c r="D1103" s="54"/>
      <c r="G1103" s="54"/>
      <c r="H1103" s="54"/>
      <c r="I1103" s="54"/>
      <c r="J1103" s="54"/>
      <c r="K1103" s="54"/>
      <c r="L1103" s="54"/>
      <c r="M1103" s="54"/>
      <c r="O1103" s="56"/>
      <c r="P1103" s="54"/>
    </row>
    <row r="1104" spans="4:16" x14ac:dyDescent="0.2">
      <c r="D1104" s="54"/>
      <c r="G1104" s="54"/>
      <c r="H1104" s="54"/>
      <c r="I1104" s="54"/>
      <c r="J1104" s="54"/>
      <c r="K1104" s="54"/>
      <c r="L1104" s="54"/>
      <c r="M1104" s="54"/>
      <c r="O1104" s="56"/>
      <c r="P1104" s="54"/>
    </row>
    <row r="1105" spans="4:16" x14ac:dyDescent="0.2">
      <c r="D1105" s="54"/>
      <c r="G1105" s="54"/>
      <c r="H1105" s="54"/>
      <c r="I1105" s="54"/>
      <c r="J1105" s="54"/>
      <c r="K1105" s="54"/>
      <c r="L1105" s="54"/>
      <c r="M1105" s="54"/>
      <c r="O1105" s="56"/>
      <c r="P1105" s="54"/>
    </row>
    <row r="1106" spans="4:16" x14ac:dyDescent="0.2">
      <c r="D1106" s="54"/>
      <c r="G1106" s="54"/>
      <c r="H1106" s="54"/>
      <c r="I1106" s="54"/>
      <c r="J1106" s="54"/>
      <c r="K1106" s="54"/>
      <c r="L1106" s="54"/>
      <c r="M1106" s="54"/>
      <c r="O1106" s="56"/>
      <c r="P1106" s="54"/>
    </row>
    <row r="1107" spans="4:16" x14ac:dyDescent="0.2">
      <c r="D1107" s="54"/>
      <c r="G1107" s="54"/>
      <c r="H1107" s="54"/>
      <c r="I1107" s="54"/>
      <c r="J1107" s="54"/>
      <c r="K1107" s="54"/>
      <c r="L1107" s="54"/>
      <c r="M1107" s="54"/>
      <c r="O1107" s="56"/>
      <c r="P1107" s="54"/>
    </row>
    <row r="1108" spans="4:16" x14ac:dyDescent="0.2">
      <c r="D1108" s="54"/>
      <c r="G1108" s="54"/>
      <c r="H1108" s="54"/>
      <c r="I1108" s="54"/>
      <c r="J1108" s="54"/>
      <c r="K1108" s="54"/>
      <c r="L1108" s="54"/>
      <c r="M1108" s="54"/>
      <c r="O1108" s="56"/>
      <c r="P1108" s="54"/>
    </row>
    <row r="1109" spans="4:16" x14ac:dyDescent="0.2">
      <c r="D1109" s="54"/>
      <c r="G1109" s="54"/>
      <c r="H1109" s="54"/>
      <c r="I1109" s="54"/>
      <c r="J1109" s="54"/>
      <c r="K1109" s="54"/>
      <c r="L1109" s="54"/>
      <c r="M1109" s="54"/>
      <c r="O1109" s="56"/>
      <c r="P1109" s="54"/>
    </row>
    <row r="1110" spans="4:16" x14ac:dyDescent="0.2">
      <c r="D1110" s="54"/>
      <c r="G1110" s="54"/>
      <c r="H1110" s="54"/>
      <c r="I1110" s="54"/>
      <c r="J1110" s="54"/>
      <c r="K1110" s="54"/>
      <c r="L1110" s="54"/>
      <c r="M1110" s="54"/>
      <c r="O1110" s="56"/>
      <c r="P1110" s="54"/>
    </row>
    <row r="1111" spans="4:16" x14ac:dyDescent="0.2">
      <c r="D1111" s="54"/>
      <c r="G1111" s="54"/>
      <c r="H1111" s="54"/>
      <c r="I1111" s="54"/>
      <c r="J1111" s="54"/>
      <c r="K1111" s="54"/>
      <c r="L1111" s="54"/>
      <c r="M1111" s="54"/>
      <c r="O1111" s="56"/>
      <c r="P1111" s="54"/>
    </row>
    <row r="1112" spans="4:16" x14ac:dyDescent="0.2">
      <c r="D1112" s="54"/>
      <c r="G1112" s="54"/>
      <c r="H1112" s="54"/>
      <c r="I1112" s="54"/>
      <c r="J1112" s="54"/>
      <c r="K1112" s="54"/>
      <c r="L1112" s="54"/>
      <c r="M1112" s="54"/>
      <c r="O1112" s="56"/>
      <c r="P1112" s="54"/>
    </row>
    <row r="1113" spans="4:16" x14ac:dyDescent="0.2">
      <c r="D1113" s="54"/>
      <c r="G1113" s="54"/>
      <c r="H1113" s="54"/>
      <c r="I1113" s="54"/>
      <c r="J1113" s="54"/>
      <c r="K1113" s="54"/>
      <c r="L1113" s="54"/>
      <c r="M1113" s="54"/>
      <c r="O1113" s="56"/>
      <c r="P1113" s="54"/>
    </row>
    <row r="1114" spans="4:16" x14ac:dyDescent="0.2">
      <c r="D1114" s="54"/>
      <c r="G1114" s="54"/>
      <c r="H1114" s="54"/>
      <c r="I1114" s="54"/>
      <c r="J1114" s="54"/>
      <c r="K1114" s="54"/>
      <c r="L1114" s="54"/>
      <c r="M1114" s="54"/>
      <c r="O1114" s="56"/>
      <c r="P1114" s="54"/>
    </row>
    <row r="1115" spans="4:16" x14ac:dyDescent="0.2">
      <c r="D1115" s="54"/>
      <c r="G1115" s="54"/>
      <c r="H1115" s="54"/>
      <c r="I1115" s="54"/>
      <c r="J1115" s="54"/>
      <c r="K1115" s="54"/>
      <c r="L1115" s="54"/>
      <c r="M1115" s="54"/>
      <c r="O1115" s="56"/>
      <c r="P1115" s="54"/>
    </row>
    <row r="1116" spans="4:16" x14ac:dyDescent="0.2">
      <c r="D1116" s="54"/>
      <c r="G1116" s="54"/>
      <c r="H1116" s="54"/>
      <c r="I1116" s="54"/>
      <c r="J1116" s="54"/>
      <c r="K1116" s="54"/>
      <c r="L1116" s="54"/>
      <c r="M1116" s="54"/>
      <c r="O1116" s="56"/>
      <c r="P1116" s="54"/>
    </row>
    <row r="1117" spans="4:16" x14ac:dyDescent="0.2">
      <c r="D1117" s="54"/>
      <c r="G1117" s="54"/>
      <c r="H1117" s="54"/>
      <c r="I1117" s="54"/>
      <c r="J1117" s="54"/>
      <c r="K1117" s="54"/>
      <c r="L1117" s="54"/>
      <c r="M1117" s="54"/>
      <c r="O1117" s="56"/>
      <c r="P1117" s="54"/>
    </row>
    <row r="1118" spans="4:16" x14ac:dyDescent="0.2">
      <c r="D1118" s="54"/>
      <c r="G1118" s="54"/>
      <c r="H1118" s="54"/>
      <c r="I1118" s="54"/>
      <c r="J1118" s="54"/>
      <c r="K1118" s="54"/>
      <c r="L1118" s="54"/>
      <c r="M1118" s="54"/>
      <c r="O1118" s="56"/>
      <c r="P1118" s="54"/>
    </row>
    <row r="1119" spans="4:16" x14ac:dyDescent="0.2">
      <c r="D1119" s="54"/>
      <c r="G1119" s="54"/>
      <c r="H1119" s="54"/>
      <c r="I1119" s="54"/>
      <c r="J1119" s="54"/>
      <c r="K1119" s="54"/>
      <c r="L1119" s="54"/>
      <c r="M1119" s="54"/>
      <c r="O1119" s="56"/>
      <c r="P1119" s="54"/>
    </row>
    <row r="1120" spans="4:16" x14ac:dyDescent="0.2">
      <c r="D1120" s="54"/>
      <c r="G1120" s="54"/>
      <c r="H1120" s="54"/>
      <c r="I1120" s="54"/>
      <c r="J1120" s="54"/>
      <c r="K1120" s="54"/>
      <c r="L1120" s="54"/>
      <c r="M1120" s="54"/>
      <c r="O1120" s="56"/>
      <c r="P1120" s="54"/>
    </row>
    <row r="1121" spans="4:16" x14ac:dyDescent="0.2">
      <c r="D1121" s="54"/>
      <c r="G1121" s="54"/>
      <c r="H1121" s="54"/>
      <c r="I1121" s="54"/>
      <c r="J1121" s="54"/>
      <c r="K1121" s="54"/>
      <c r="L1121" s="54"/>
      <c r="M1121" s="54"/>
      <c r="O1121" s="56"/>
      <c r="P1121" s="54"/>
    </row>
    <row r="1122" spans="4:16" x14ac:dyDescent="0.2">
      <c r="D1122" s="54"/>
      <c r="G1122" s="54"/>
      <c r="H1122" s="54"/>
      <c r="I1122" s="54"/>
      <c r="J1122" s="54"/>
      <c r="K1122" s="54"/>
      <c r="L1122" s="54"/>
      <c r="M1122" s="54"/>
      <c r="O1122" s="56"/>
      <c r="P1122" s="54"/>
    </row>
    <row r="1123" spans="4:16" x14ac:dyDescent="0.2">
      <c r="D1123" s="54"/>
      <c r="G1123" s="54"/>
      <c r="H1123" s="54"/>
      <c r="I1123" s="54"/>
      <c r="J1123" s="54"/>
      <c r="K1123" s="54"/>
      <c r="L1123" s="54"/>
      <c r="M1123" s="54"/>
      <c r="O1123" s="56"/>
      <c r="P1123" s="54"/>
    </row>
    <row r="1124" spans="4:16" x14ac:dyDescent="0.2">
      <c r="D1124" s="54"/>
      <c r="G1124" s="54"/>
      <c r="H1124" s="54"/>
      <c r="I1124" s="54"/>
      <c r="J1124" s="54"/>
      <c r="K1124" s="54"/>
      <c r="L1124" s="54"/>
      <c r="M1124" s="54"/>
      <c r="O1124" s="56"/>
      <c r="P1124" s="54"/>
    </row>
    <row r="1125" spans="4:16" x14ac:dyDescent="0.2">
      <c r="D1125" s="54"/>
      <c r="G1125" s="54"/>
      <c r="H1125" s="54"/>
      <c r="I1125" s="54"/>
      <c r="J1125" s="54"/>
      <c r="K1125" s="54"/>
      <c r="L1125" s="54"/>
      <c r="M1125" s="54"/>
      <c r="O1125" s="56"/>
      <c r="P1125" s="54"/>
    </row>
    <row r="1126" spans="4:16" x14ac:dyDescent="0.2">
      <c r="D1126" s="54"/>
      <c r="G1126" s="54"/>
      <c r="H1126" s="54"/>
      <c r="I1126" s="54"/>
      <c r="J1126" s="54"/>
      <c r="K1126" s="54"/>
      <c r="L1126" s="54"/>
      <c r="M1126" s="54"/>
      <c r="O1126" s="56"/>
      <c r="P1126" s="54"/>
    </row>
    <row r="1127" spans="4:16" x14ac:dyDescent="0.2">
      <c r="D1127" s="54"/>
      <c r="G1127" s="54"/>
      <c r="H1127" s="54"/>
      <c r="I1127" s="54"/>
      <c r="J1127" s="54"/>
      <c r="K1127" s="54"/>
      <c r="L1127" s="54"/>
      <c r="M1127" s="54"/>
      <c r="O1127" s="56"/>
      <c r="P1127" s="54"/>
    </row>
    <row r="1128" spans="4:16" x14ac:dyDescent="0.2">
      <c r="D1128" s="54"/>
      <c r="G1128" s="54"/>
      <c r="H1128" s="54"/>
      <c r="I1128" s="54"/>
      <c r="J1128" s="54"/>
      <c r="K1128" s="54"/>
      <c r="L1128" s="54"/>
      <c r="M1128" s="54"/>
      <c r="O1128" s="56"/>
      <c r="P1128" s="54"/>
    </row>
    <row r="1129" spans="4:16" x14ac:dyDescent="0.2">
      <c r="D1129" s="54"/>
      <c r="G1129" s="54"/>
      <c r="H1129" s="54"/>
      <c r="I1129" s="54"/>
      <c r="J1129" s="54"/>
      <c r="K1129" s="54"/>
      <c r="L1129" s="54"/>
      <c r="M1129" s="54"/>
      <c r="O1129" s="56"/>
      <c r="P1129" s="54"/>
    </row>
    <row r="1130" spans="4:16" x14ac:dyDescent="0.2">
      <c r="D1130" s="54"/>
      <c r="G1130" s="54"/>
      <c r="H1130" s="54"/>
      <c r="I1130" s="54"/>
      <c r="J1130" s="54"/>
      <c r="K1130" s="54"/>
      <c r="L1130" s="54"/>
      <c r="M1130" s="54"/>
      <c r="O1130" s="56"/>
      <c r="P1130" s="54"/>
    </row>
    <row r="1131" spans="4:16" x14ac:dyDescent="0.2">
      <c r="D1131" s="54"/>
      <c r="G1131" s="54"/>
      <c r="H1131" s="54"/>
      <c r="I1131" s="54"/>
      <c r="J1131" s="54"/>
      <c r="K1131" s="54"/>
      <c r="L1131" s="54"/>
      <c r="M1131" s="54"/>
      <c r="O1131" s="56"/>
      <c r="P1131" s="54"/>
    </row>
    <row r="1132" spans="4:16" x14ac:dyDescent="0.2">
      <c r="D1132" s="54"/>
      <c r="G1132" s="54"/>
      <c r="H1132" s="54"/>
      <c r="I1132" s="54"/>
      <c r="J1132" s="54"/>
      <c r="K1132" s="54"/>
      <c r="L1132" s="54"/>
      <c r="M1132" s="54"/>
      <c r="O1132" s="56"/>
      <c r="P1132" s="54"/>
    </row>
    <row r="1133" spans="4:16" x14ac:dyDescent="0.2">
      <c r="D1133" s="54"/>
      <c r="G1133" s="54"/>
      <c r="H1133" s="54"/>
      <c r="I1133" s="54"/>
      <c r="J1133" s="54"/>
      <c r="K1133" s="54"/>
      <c r="L1133" s="54"/>
      <c r="M1133" s="54"/>
      <c r="O1133" s="56"/>
      <c r="P1133" s="54"/>
    </row>
    <row r="1134" spans="4:16" x14ac:dyDescent="0.2">
      <c r="D1134" s="54"/>
      <c r="G1134" s="54"/>
      <c r="H1134" s="54"/>
      <c r="I1134" s="54"/>
      <c r="J1134" s="54"/>
      <c r="K1134" s="54"/>
      <c r="L1134" s="54"/>
      <c r="M1134" s="54"/>
      <c r="O1134" s="56"/>
      <c r="P1134" s="54"/>
    </row>
    <row r="1135" spans="4:16" x14ac:dyDescent="0.2">
      <c r="D1135" s="54"/>
      <c r="G1135" s="54"/>
      <c r="H1135" s="54"/>
      <c r="I1135" s="54"/>
      <c r="J1135" s="54"/>
      <c r="K1135" s="54"/>
      <c r="L1135" s="54"/>
      <c r="M1135" s="54"/>
      <c r="O1135" s="56"/>
      <c r="P1135" s="54"/>
    </row>
    <row r="1136" spans="4:16" x14ac:dyDescent="0.2">
      <c r="D1136" s="54"/>
      <c r="G1136" s="54"/>
      <c r="H1136" s="54"/>
      <c r="I1136" s="54"/>
      <c r="J1136" s="54"/>
      <c r="K1136" s="54"/>
      <c r="L1136" s="54"/>
      <c r="M1136" s="54"/>
      <c r="O1136" s="56"/>
      <c r="P1136" s="54"/>
    </row>
    <row r="1137" spans="4:16" x14ac:dyDescent="0.2">
      <c r="D1137" s="54"/>
      <c r="G1137" s="54"/>
      <c r="H1137" s="54"/>
      <c r="I1137" s="54"/>
      <c r="J1137" s="54"/>
      <c r="K1137" s="54"/>
      <c r="L1137" s="54"/>
      <c r="M1137" s="54"/>
      <c r="O1137" s="56"/>
      <c r="P1137" s="54"/>
    </row>
    <row r="1138" spans="4:16" x14ac:dyDescent="0.2">
      <c r="D1138" s="54"/>
      <c r="G1138" s="54"/>
      <c r="H1138" s="54"/>
      <c r="I1138" s="54"/>
      <c r="J1138" s="54"/>
      <c r="K1138" s="54"/>
      <c r="L1138" s="54"/>
      <c r="M1138" s="54"/>
      <c r="O1138" s="56"/>
      <c r="P1138" s="54"/>
    </row>
    <row r="1139" spans="4:16" x14ac:dyDescent="0.2">
      <c r="D1139" s="54"/>
      <c r="G1139" s="54"/>
      <c r="H1139" s="54"/>
      <c r="I1139" s="54"/>
      <c r="J1139" s="54"/>
      <c r="K1139" s="54"/>
      <c r="L1139" s="54"/>
      <c r="M1139" s="54"/>
      <c r="O1139" s="56"/>
      <c r="P1139" s="54"/>
    </row>
    <row r="1140" spans="4:16" x14ac:dyDescent="0.2">
      <c r="D1140" s="54"/>
      <c r="G1140" s="54"/>
      <c r="H1140" s="54"/>
      <c r="I1140" s="54"/>
      <c r="J1140" s="54"/>
      <c r="K1140" s="54"/>
      <c r="L1140" s="54"/>
      <c r="M1140" s="54"/>
      <c r="O1140" s="56"/>
      <c r="P1140" s="54"/>
    </row>
    <row r="1141" spans="4:16" x14ac:dyDescent="0.2">
      <c r="D1141" s="54"/>
      <c r="G1141" s="54"/>
      <c r="H1141" s="54"/>
      <c r="I1141" s="54"/>
      <c r="J1141" s="54"/>
      <c r="K1141" s="54"/>
      <c r="L1141" s="54"/>
      <c r="M1141" s="54"/>
      <c r="O1141" s="56"/>
      <c r="P1141" s="54"/>
    </row>
    <row r="1142" spans="4:16" x14ac:dyDescent="0.2">
      <c r="D1142" s="54"/>
      <c r="G1142" s="54"/>
      <c r="H1142" s="54"/>
      <c r="I1142" s="54"/>
      <c r="J1142" s="54"/>
      <c r="K1142" s="54"/>
      <c r="L1142" s="54"/>
      <c r="M1142" s="54"/>
      <c r="O1142" s="56"/>
      <c r="P1142" s="54"/>
    </row>
    <row r="1143" spans="4:16" x14ac:dyDescent="0.2">
      <c r="D1143" s="54"/>
      <c r="G1143" s="54"/>
      <c r="H1143" s="54"/>
      <c r="I1143" s="54"/>
      <c r="J1143" s="54"/>
      <c r="K1143" s="54"/>
      <c r="L1143" s="54"/>
      <c r="M1143" s="54"/>
      <c r="O1143" s="56"/>
      <c r="P1143" s="54"/>
    </row>
    <row r="1144" spans="4:16" x14ac:dyDescent="0.2">
      <c r="D1144" s="54"/>
      <c r="G1144" s="54"/>
      <c r="H1144" s="54"/>
      <c r="I1144" s="54"/>
      <c r="J1144" s="54"/>
      <c r="K1144" s="54"/>
      <c r="L1144" s="54"/>
      <c r="M1144" s="54"/>
      <c r="O1144" s="56"/>
      <c r="P1144" s="54"/>
    </row>
    <row r="1145" spans="4:16" x14ac:dyDescent="0.2">
      <c r="D1145" s="54"/>
      <c r="G1145" s="54"/>
      <c r="H1145" s="54"/>
      <c r="I1145" s="54"/>
      <c r="J1145" s="54"/>
      <c r="K1145" s="54"/>
      <c r="L1145" s="54"/>
      <c r="M1145" s="54"/>
      <c r="O1145" s="56"/>
      <c r="P1145" s="54"/>
    </row>
    <row r="1146" spans="4:16" x14ac:dyDescent="0.2">
      <c r="D1146" s="54"/>
      <c r="G1146" s="54"/>
      <c r="H1146" s="54"/>
      <c r="I1146" s="54"/>
      <c r="J1146" s="54"/>
      <c r="K1146" s="54"/>
      <c r="L1146" s="54"/>
      <c r="M1146" s="54"/>
      <c r="O1146" s="56"/>
      <c r="P1146" s="54"/>
    </row>
    <row r="1147" spans="4:16" x14ac:dyDescent="0.2">
      <c r="D1147" s="54"/>
      <c r="G1147" s="54"/>
      <c r="H1147" s="54"/>
      <c r="I1147" s="54"/>
      <c r="J1147" s="54"/>
      <c r="K1147" s="54"/>
      <c r="L1147" s="54"/>
      <c r="M1147" s="54"/>
      <c r="O1147" s="56"/>
      <c r="P1147" s="54"/>
    </row>
    <row r="1148" spans="4:16" x14ac:dyDescent="0.2">
      <c r="D1148" s="54"/>
      <c r="G1148" s="54"/>
      <c r="H1148" s="54"/>
      <c r="I1148" s="54"/>
      <c r="J1148" s="54"/>
      <c r="K1148" s="54"/>
      <c r="L1148" s="54"/>
      <c r="M1148" s="54"/>
      <c r="O1148" s="56"/>
      <c r="P1148" s="54"/>
    </row>
    <row r="1149" spans="4:16" x14ac:dyDescent="0.2">
      <c r="D1149" s="54"/>
      <c r="G1149" s="54"/>
      <c r="H1149" s="54"/>
      <c r="I1149" s="54"/>
      <c r="J1149" s="54"/>
      <c r="K1149" s="54"/>
      <c r="L1149" s="54"/>
      <c r="M1149" s="54"/>
      <c r="O1149" s="56"/>
      <c r="P1149" s="54"/>
    </row>
    <row r="1150" spans="4:16" x14ac:dyDescent="0.2">
      <c r="D1150" s="54"/>
      <c r="G1150" s="54"/>
      <c r="H1150" s="54"/>
      <c r="I1150" s="54"/>
      <c r="J1150" s="54"/>
      <c r="K1150" s="54"/>
      <c r="L1150" s="54"/>
      <c r="M1150" s="54"/>
      <c r="O1150" s="56"/>
      <c r="P1150" s="54"/>
    </row>
    <row r="1151" spans="4:16" x14ac:dyDescent="0.2">
      <c r="D1151" s="54"/>
      <c r="G1151" s="54"/>
      <c r="H1151" s="54"/>
      <c r="I1151" s="54"/>
      <c r="J1151" s="54"/>
      <c r="K1151" s="54"/>
      <c r="L1151" s="54"/>
      <c r="M1151" s="54"/>
      <c r="O1151" s="56"/>
      <c r="P1151" s="54"/>
    </row>
    <row r="1152" spans="4:16" x14ac:dyDescent="0.2">
      <c r="D1152" s="54"/>
      <c r="G1152" s="54"/>
      <c r="H1152" s="54"/>
      <c r="I1152" s="54"/>
      <c r="J1152" s="54"/>
      <c r="K1152" s="54"/>
      <c r="L1152" s="54"/>
      <c r="M1152" s="54"/>
      <c r="O1152" s="56"/>
      <c r="P1152" s="54"/>
    </row>
    <row r="1153" spans="4:16" x14ac:dyDescent="0.2">
      <c r="D1153" s="54"/>
      <c r="G1153" s="54"/>
      <c r="H1153" s="54"/>
      <c r="I1153" s="54"/>
      <c r="J1153" s="54"/>
      <c r="K1153" s="54"/>
      <c r="L1153" s="54"/>
      <c r="M1153" s="54"/>
      <c r="O1153" s="56"/>
      <c r="P1153" s="54"/>
    </row>
    <row r="1154" spans="4:16" x14ac:dyDescent="0.2">
      <c r="D1154" s="54"/>
      <c r="G1154" s="54"/>
      <c r="H1154" s="54"/>
      <c r="I1154" s="54"/>
      <c r="J1154" s="54"/>
      <c r="K1154" s="54"/>
      <c r="L1154" s="54"/>
      <c r="M1154" s="54"/>
      <c r="O1154" s="56"/>
      <c r="P1154" s="54"/>
    </row>
    <row r="1155" spans="4:16" x14ac:dyDescent="0.2">
      <c r="D1155" s="54"/>
      <c r="G1155" s="54"/>
      <c r="H1155" s="54"/>
      <c r="I1155" s="54"/>
      <c r="J1155" s="54"/>
      <c r="K1155" s="54"/>
      <c r="L1155" s="54"/>
      <c r="M1155" s="54"/>
      <c r="O1155" s="56"/>
      <c r="P1155" s="54"/>
    </row>
    <row r="1156" spans="4:16" x14ac:dyDescent="0.2">
      <c r="D1156" s="54"/>
      <c r="G1156" s="54"/>
      <c r="H1156" s="54"/>
      <c r="I1156" s="54"/>
      <c r="J1156" s="54"/>
      <c r="K1156" s="54"/>
      <c r="L1156" s="54"/>
      <c r="M1156" s="54"/>
      <c r="O1156" s="56"/>
      <c r="P1156" s="54"/>
    </row>
    <row r="1157" spans="4:16" x14ac:dyDescent="0.2">
      <c r="D1157" s="54"/>
      <c r="G1157" s="54"/>
      <c r="H1157" s="54"/>
      <c r="I1157" s="54"/>
      <c r="J1157" s="54"/>
      <c r="K1157" s="54"/>
      <c r="L1157" s="54"/>
      <c r="M1157" s="54"/>
      <c r="O1157" s="56"/>
      <c r="P1157" s="54"/>
    </row>
    <row r="1158" spans="4:16" x14ac:dyDescent="0.2">
      <c r="D1158" s="54"/>
      <c r="G1158" s="54"/>
      <c r="H1158" s="54"/>
      <c r="I1158" s="54"/>
      <c r="J1158" s="54"/>
      <c r="K1158" s="54"/>
      <c r="L1158" s="54"/>
      <c r="M1158" s="54"/>
      <c r="O1158" s="56"/>
      <c r="P1158" s="54"/>
    </row>
    <row r="1159" spans="4:16" x14ac:dyDescent="0.2">
      <c r="D1159" s="54"/>
      <c r="G1159" s="54"/>
      <c r="H1159" s="54"/>
      <c r="I1159" s="54"/>
      <c r="J1159" s="54"/>
      <c r="K1159" s="54"/>
      <c r="L1159" s="54"/>
      <c r="M1159" s="54"/>
      <c r="O1159" s="56"/>
      <c r="P1159" s="54"/>
    </row>
    <row r="1160" spans="4:16" x14ac:dyDescent="0.2">
      <c r="D1160" s="54"/>
      <c r="G1160" s="54"/>
      <c r="H1160" s="54"/>
      <c r="I1160" s="54"/>
      <c r="J1160" s="54"/>
      <c r="K1160" s="54"/>
      <c r="L1160" s="54"/>
      <c r="M1160" s="54"/>
      <c r="O1160" s="56"/>
      <c r="P1160" s="54"/>
    </row>
    <row r="1161" spans="4:16" x14ac:dyDescent="0.2">
      <c r="D1161" s="54"/>
      <c r="G1161" s="54"/>
      <c r="H1161" s="54"/>
      <c r="I1161" s="54"/>
      <c r="J1161" s="54"/>
      <c r="K1161" s="54"/>
      <c r="L1161" s="54"/>
      <c r="M1161" s="54"/>
      <c r="O1161" s="56"/>
      <c r="P1161" s="54"/>
    </row>
    <row r="1162" spans="4:16" x14ac:dyDescent="0.2">
      <c r="D1162" s="54"/>
      <c r="G1162" s="54"/>
      <c r="H1162" s="54"/>
      <c r="I1162" s="54"/>
      <c r="J1162" s="54"/>
      <c r="K1162" s="54"/>
      <c r="L1162" s="54"/>
      <c r="M1162" s="54"/>
      <c r="O1162" s="56"/>
      <c r="P1162" s="54"/>
    </row>
    <row r="1163" spans="4:16" x14ac:dyDescent="0.2">
      <c r="D1163" s="54"/>
      <c r="G1163" s="54"/>
      <c r="H1163" s="54"/>
      <c r="I1163" s="54"/>
      <c r="J1163" s="54"/>
      <c r="K1163" s="54"/>
      <c r="L1163" s="54"/>
      <c r="M1163" s="54"/>
      <c r="O1163" s="56"/>
      <c r="P1163" s="54"/>
    </row>
    <row r="1164" spans="4:16" x14ac:dyDescent="0.2">
      <c r="D1164" s="54"/>
      <c r="G1164" s="54"/>
      <c r="H1164" s="54"/>
      <c r="I1164" s="54"/>
      <c r="J1164" s="54"/>
      <c r="K1164" s="54"/>
      <c r="L1164" s="54"/>
      <c r="M1164" s="54"/>
      <c r="O1164" s="56"/>
      <c r="P1164" s="54"/>
    </row>
    <row r="1165" spans="4:16" x14ac:dyDescent="0.2">
      <c r="D1165" s="54"/>
      <c r="G1165" s="54"/>
      <c r="H1165" s="54"/>
      <c r="I1165" s="54"/>
      <c r="J1165" s="54"/>
      <c r="K1165" s="54"/>
      <c r="L1165" s="54"/>
      <c r="M1165" s="54"/>
      <c r="O1165" s="56"/>
      <c r="P1165" s="54"/>
    </row>
    <row r="1166" spans="4:16" x14ac:dyDescent="0.2">
      <c r="D1166" s="54"/>
      <c r="G1166" s="54"/>
      <c r="H1166" s="54"/>
      <c r="I1166" s="54"/>
      <c r="J1166" s="54"/>
      <c r="K1166" s="54"/>
      <c r="L1166" s="54"/>
      <c r="M1166" s="54"/>
      <c r="O1166" s="56"/>
      <c r="P1166" s="54"/>
    </row>
    <row r="1167" spans="4:16" x14ac:dyDescent="0.2">
      <c r="D1167" s="54"/>
      <c r="G1167" s="54"/>
      <c r="H1167" s="54"/>
      <c r="I1167" s="54"/>
      <c r="J1167" s="54"/>
      <c r="K1167" s="54"/>
      <c r="L1167" s="54"/>
      <c r="M1167" s="54"/>
      <c r="O1167" s="56"/>
      <c r="P1167" s="54"/>
    </row>
    <row r="1168" spans="4:16" x14ac:dyDescent="0.2">
      <c r="D1168" s="54"/>
      <c r="G1168" s="54"/>
      <c r="H1168" s="54"/>
      <c r="I1168" s="54"/>
      <c r="J1168" s="54"/>
      <c r="K1168" s="54"/>
      <c r="L1168" s="54"/>
      <c r="M1168" s="54"/>
      <c r="O1168" s="56"/>
      <c r="P1168" s="54"/>
    </row>
    <row r="1169" spans="4:16" x14ac:dyDescent="0.2">
      <c r="D1169" s="54"/>
      <c r="G1169" s="54"/>
      <c r="H1169" s="54"/>
      <c r="I1169" s="54"/>
      <c r="J1169" s="54"/>
      <c r="K1169" s="54"/>
      <c r="L1169" s="54"/>
      <c r="M1169" s="54"/>
      <c r="O1169" s="56"/>
      <c r="P1169" s="54"/>
    </row>
    <row r="1170" spans="4:16" x14ac:dyDescent="0.2">
      <c r="D1170" s="54"/>
      <c r="G1170" s="54"/>
      <c r="H1170" s="54"/>
      <c r="I1170" s="54"/>
      <c r="J1170" s="54"/>
      <c r="K1170" s="54"/>
      <c r="L1170" s="54"/>
      <c r="M1170" s="54"/>
      <c r="O1170" s="56"/>
      <c r="P1170" s="54"/>
    </row>
    <row r="1171" spans="4:16" x14ac:dyDescent="0.2">
      <c r="D1171" s="54"/>
      <c r="G1171" s="54"/>
      <c r="H1171" s="54"/>
      <c r="I1171" s="54"/>
      <c r="J1171" s="54"/>
      <c r="K1171" s="54"/>
      <c r="L1171" s="54"/>
      <c r="M1171" s="54"/>
      <c r="O1171" s="56"/>
      <c r="P1171" s="54"/>
    </row>
    <row r="1172" spans="4:16" x14ac:dyDescent="0.2">
      <c r="D1172" s="54"/>
      <c r="G1172" s="54"/>
      <c r="H1172" s="54"/>
      <c r="I1172" s="54"/>
      <c r="J1172" s="54"/>
      <c r="K1172" s="54"/>
      <c r="L1172" s="54"/>
      <c r="M1172" s="54"/>
      <c r="O1172" s="56"/>
      <c r="P1172" s="54"/>
    </row>
    <row r="1173" spans="4:16" x14ac:dyDescent="0.2">
      <c r="D1173" s="54"/>
      <c r="G1173" s="54"/>
      <c r="H1173" s="54"/>
      <c r="I1173" s="54"/>
      <c r="J1173" s="54"/>
      <c r="K1173" s="54"/>
      <c r="L1173" s="54"/>
      <c r="M1173" s="54"/>
      <c r="O1173" s="56"/>
      <c r="P1173" s="54"/>
    </row>
    <row r="1174" spans="4:16" x14ac:dyDescent="0.2">
      <c r="D1174" s="54"/>
      <c r="G1174" s="54"/>
      <c r="H1174" s="54"/>
      <c r="I1174" s="54"/>
      <c r="J1174" s="54"/>
      <c r="K1174" s="54"/>
      <c r="L1174" s="54"/>
      <c r="M1174" s="54"/>
      <c r="O1174" s="56"/>
      <c r="P1174" s="54"/>
    </row>
    <row r="1175" spans="4:16" x14ac:dyDescent="0.2">
      <c r="D1175" s="54"/>
      <c r="G1175" s="54"/>
      <c r="H1175" s="54"/>
      <c r="I1175" s="54"/>
      <c r="J1175" s="54"/>
      <c r="K1175" s="54"/>
      <c r="L1175" s="54"/>
      <c r="M1175" s="54"/>
      <c r="O1175" s="56"/>
      <c r="P1175" s="54"/>
    </row>
    <row r="1176" spans="4:16" x14ac:dyDescent="0.2">
      <c r="D1176" s="54"/>
      <c r="G1176" s="54"/>
      <c r="H1176" s="54"/>
      <c r="I1176" s="54"/>
      <c r="J1176" s="54"/>
      <c r="K1176" s="54"/>
      <c r="L1176" s="54"/>
      <c r="M1176" s="54"/>
      <c r="O1176" s="56"/>
      <c r="P1176" s="54"/>
    </row>
    <row r="1177" spans="4:16" x14ac:dyDescent="0.2">
      <c r="D1177" s="54"/>
      <c r="G1177" s="54"/>
      <c r="H1177" s="54"/>
      <c r="I1177" s="54"/>
      <c r="J1177" s="54"/>
      <c r="K1177" s="54"/>
      <c r="L1177" s="54"/>
      <c r="M1177" s="54"/>
      <c r="O1177" s="56"/>
      <c r="P1177" s="54"/>
    </row>
    <row r="1178" spans="4:16" x14ac:dyDescent="0.2">
      <c r="D1178" s="54"/>
      <c r="G1178" s="54"/>
      <c r="H1178" s="54"/>
      <c r="I1178" s="54"/>
      <c r="J1178" s="54"/>
      <c r="K1178" s="54"/>
      <c r="L1178" s="54"/>
      <c r="M1178" s="54"/>
      <c r="O1178" s="56"/>
      <c r="P1178" s="54"/>
    </row>
    <row r="1179" spans="4:16" x14ac:dyDescent="0.2">
      <c r="D1179" s="54"/>
      <c r="G1179" s="54"/>
      <c r="H1179" s="54"/>
      <c r="I1179" s="54"/>
      <c r="J1179" s="54"/>
      <c r="K1179" s="54"/>
      <c r="L1179" s="54"/>
      <c r="M1179" s="54"/>
      <c r="O1179" s="56"/>
      <c r="P1179" s="54"/>
    </row>
    <row r="1180" spans="4:16" x14ac:dyDescent="0.2">
      <c r="D1180" s="54"/>
      <c r="G1180" s="54"/>
      <c r="H1180" s="54"/>
      <c r="I1180" s="54"/>
      <c r="J1180" s="54"/>
      <c r="K1180" s="54"/>
      <c r="L1180" s="54"/>
      <c r="M1180" s="54"/>
      <c r="O1180" s="56"/>
      <c r="P1180" s="54"/>
    </row>
    <row r="1181" spans="4:16" x14ac:dyDescent="0.2">
      <c r="D1181" s="54"/>
      <c r="G1181" s="54"/>
      <c r="H1181" s="54"/>
      <c r="I1181" s="54"/>
      <c r="J1181" s="54"/>
      <c r="K1181" s="54"/>
      <c r="L1181" s="54"/>
      <c r="M1181" s="54"/>
      <c r="O1181" s="56"/>
      <c r="P1181" s="54"/>
    </row>
    <row r="1182" spans="4:16" x14ac:dyDescent="0.2">
      <c r="D1182" s="54"/>
      <c r="G1182" s="54"/>
      <c r="H1182" s="54"/>
      <c r="I1182" s="54"/>
      <c r="J1182" s="54"/>
      <c r="K1182" s="54"/>
      <c r="L1182" s="54"/>
      <c r="M1182" s="54"/>
      <c r="O1182" s="56"/>
      <c r="P1182" s="54"/>
    </row>
    <row r="1183" spans="4:16" x14ac:dyDescent="0.2">
      <c r="D1183" s="54"/>
      <c r="G1183" s="54"/>
      <c r="H1183" s="54"/>
      <c r="I1183" s="54"/>
      <c r="J1183" s="54"/>
      <c r="K1183" s="54"/>
      <c r="L1183" s="54"/>
      <c r="M1183" s="54"/>
      <c r="O1183" s="56"/>
      <c r="P1183" s="54"/>
    </row>
    <row r="1184" spans="4:16" x14ac:dyDescent="0.2">
      <c r="D1184" s="54"/>
      <c r="G1184" s="54"/>
      <c r="H1184" s="54"/>
      <c r="I1184" s="54"/>
      <c r="J1184" s="54"/>
      <c r="K1184" s="54"/>
      <c r="L1184" s="54"/>
      <c r="M1184" s="54"/>
      <c r="O1184" s="56"/>
      <c r="P1184" s="54"/>
    </row>
    <row r="1185" spans="4:16" x14ac:dyDescent="0.2">
      <c r="D1185" s="54"/>
      <c r="G1185" s="54"/>
      <c r="H1185" s="54"/>
      <c r="I1185" s="54"/>
      <c r="J1185" s="54"/>
      <c r="K1185" s="54"/>
      <c r="L1185" s="54"/>
      <c r="M1185" s="54"/>
      <c r="O1185" s="56"/>
      <c r="P1185" s="54"/>
    </row>
    <row r="1186" spans="4:16" x14ac:dyDescent="0.2">
      <c r="D1186" s="54"/>
      <c r="G1186" s="54"/>
      <c r="H1186" s="54"/>
      <c r="I1186" s="54"/>
      <c r="J1186" s="54"/>
      <c r="K1186" s="54"/>
      <c r="L1186" s="54"/>
      <c r="M1186" s="54"/>
      <c r="O1186" s="56"/>
      <c r="P1186" s="54"/>
    </row>
    <row r="1187" spans="4:16" x14ac:dyDescent="0.2">
      <c r="D1187" s="54"/>
      <c r="G1187" s="54"/>
      <c r="H1187" s="54"/>
      <c r="I1187" s="54"/>
      <c r="J1187" s="54"/>
      <c r="K1187" s="54"/>
      <c r="L1187" s="54"/>
      <c r="M1187" s="54"/>
      <c r="O1187" s="56"/>
      <c r="P1187" s="54"/>
    </row>
    <row r="1188" spans="4:16" x14ac:dyDescent="0.2">
      <c r="D1188" s="54"/>
      <c r="G1188" s="54"/>
      <c r="H1188" s="54"/>
      <c r="I1188" s="54"/>
      <c r="J1188" s="54"/>
      <c r="K1188" s="54"/>
      <c r="L1188" s="54"/>
      <c r="M1188" s="54"/>
      <c r="O1188" s="56"/>
      <c r="P1188" s="54"/>
    </row>
    <row r="1189" spans="4:16" x14ac:dyDescent="0.2">
      <c r="D1189" s="54"/>
      <c r="G1189" s="54"/>
      <c r="H1189" s="54"/>
      <c r="I1189" s="54"/>
      <c r="J1189" s="54"/>
      <c r="K1189" s="54"/>
      <c r="L1189" s="54"/>
      <c r="M1189" s="54"/>
      <c r="O1189" s="56"/>
      <c r="P1189" s="54"/>
    </row>
    <row r="1190" spans="4:16" x14ac:dyDescent="0.2">
      <c r="D1190" s="54"/>
      <c r="G1190" s="54"/>
      <c r="H1190" s="54"/>
      <c r="I1190" s="54"/>
      <c r="J1190" s="54"/>
      <c r="K1190" s="54"/>
      <c r="L1190" s="54"/>
      <c r="M1190" s="54"/>
      <c r="O1190" s="56"/>
      <c r="P1190" s="54"/>
    </row>
    <row r="1191" spans="4:16" x14ac:dyDescent="0.2">
      <c r="D1191" s="54"/>
      <c r="G1191" s="54"/>
      <c r="H1191" s="54"/>
      <c r="I1191" s="54"/>
      <c r="J1191" s="54"/>
      <c r="K1191" s="54"/>
      <c r="L1191" s="54"/>
      <c r="M1191" s="54"/>
      <c r="O1191" s="56"/>
      <c r="P1191" s="54"/>
    </row>
    <row r="1192" spans="4:16" x14ac:dyDescent="0.2">
      <c r="D1192" s="54"/>
      <c r="G1192" s="54"/>
      <c r="H1192" s="54"/>
      <c r="I1192" s="54"/>
      <c r="J1192" s="54"/>
      <c r="K1192" s="54"/>
      <c r="L1192" s="54"/>
      <c r="M1192" s="54"/>
      <c r="O1192" s="56"/>
      <c r="P1192" s="54"/>
    </row>
    <row r="1193" spans="4:16" x14ac:dyDescent="0.2">
      <c r="D1193" s="54"/>
      <c r="G1193" s="54"/>
      <c r="H1193" s="54"/>
      <c r="I1193" s="54"/>
      <c r="J1193" s="54"/>
      <c r="K1193" s="54"/>
      <c r="L1193" s="54"/>
      <c r="M1193" s="54"/>
      <c r="O1193" s="56"/>
      <c r="P1193" s="54"/>
    </row>
    <row r="1194" spans="4:16" x14ac:dyDescent="0.2">
      <c r="D1194" s="54"/>
      <c r="G1194" s="54"/>
      <c r="H1194" s="54"/>
      <c r="I1194" s="54"/>
      <c r="J1194" s="54"/>
      <c r="K1194" s="54"/>
      <c r="L1194" s="54"/>
      <c r="M1194" s="54"/>
      <c r="O1194" s="56"/>
      <c r="P1194" s="54"/>
    </row>
    <row r="1195" spans="4:16" x14ac:dyDescent="0.2">
      <c r="D1195" s="54"/>
      <c r="G1195" s="54"/>
      <c r="H1195" s="54"/>
      <c r="I1195" s="54"/>
      <c r="J1195" s="54"/>
      <c r="K1195" s="54"/>
      <c r="L1195" s="54"/>
      <c r="M1195" s="54"/>
      <c r="O1195" s="56"/>
      <c r="P1195" s="54"/>
    </row>
    <row r="1196" spans="4:16" x14ac:dyDescent="0.2">
      <c r="D1196" s="54"/>
      <c r="G1196" s="54"/>
      <c r="H1196" s="54"/>
      <c r="I1196" s="54"/>
      <c r="J1196" s="54"/>
      <c r="K1196" s="54"/>
      <c r="L1196" s="54"/>
      <c r="M1196" s="54"/>
      <c r="O1196" s="56"/>
      <c r="P1196" s="54"/>
    </row>
    <row r="1197" spans="4:16" x14ac:dyDescent="0.2">
      <c r="D1197" s="54"/>
      <c r="G1197" s="54"/>
      <c r="H1197" s="54"/>
      <c r="I1197" s="54"/>
      <c r="J1197" s="54"/>
      <c r="K1197" s="54"/>
      <c r="L1197" s="54"/>
      <c r="M1197" s="54"/>
      <c r="O1197" s="56"/>
      <c r="P1197" s="54"/>
    </row>
    <row r="1198" spans="4:16" x14ac:dyDescent="0.2">
      <c r="D1198" s="54"/>
      <c r="G1198" s="54"/>
      <c r="H1198" s="54"/>
      <c r="I1198" s="54"/>
      <c r="J1198" s="54"/>
      <c r="K1198" s="54"/>
      <c r="L1198" s="54"/>
      <c r="M1198" s="54"/>
      <c r="O1198" s="56"/>
      <c r="P1198" s="54"/>
    </row>
    <row r="1199" spans="4:16" x14ac:dyDescent="0.2">
      <c r="D1199" s="54"/>
      <c r="G1199" s="54"/>
      <c r="H1199" s="54"/>
      <c r="I1199" s="54"/>
      <c r="J1199" s="54"/>
      <c r="K1199" s="54"/>
      <c r="L1199" s="54"/>
      <c r="M1199" s="54"/>
      <c r="O1199" s="56"/>
      <c r="P1199" s="54"/>
    </row>
    <row r="1200" spans="4:16" x14ac:dyDescent="0.2">
      <c r="D1200" s="54"/>
      <c r="G1200" s="54"/>
      <c r="H1200" s="54"/>
      <c r="I1200" s="54"/>
      <c r="J1200" s="54"/>
      <c r="K1200" s="54"/>
      <c r="L1200" s="54"/>
      <c r="M1200" s="54"/>
      <c r="O1200" s="56"/>
      <c r="P1200" s="54"/>
    </row>
    <row r="1201" spans="4:16" x14ac:dyDescent="0.2">
      <c r="D1201" s="54"/>
      <c r="G1201" s="54"/>
      <c r="H1201" s="54"/>
      <c r="I1201" s="54"/>
      <c r="J1201" s="54"/>
      <c r="K1201" s="54"/>
      <c r="L1201" s="54"/>
      <c r="M1201" s="54"/>
      <c r="O1201" s="56"/>
      <c r="P1201" s="54"/>
    </row>
    <row r="1202" spans="4:16" x14ac:dyDescent="0.2">
      <c r="D1202" s="54"/>
      <c r="G1202" s="54"/>
      <c r="H1202" s="54"/>
      <c r="I1202" s="54"/>
      <c r="J1202" s="54"/>
      <c r="K1202" s="54"/>
      <c r="L1202" s="54"/>
      <c r="M1202" s="54"/>
      <c r="O1202" s="56"/>
      <c r="P1202" s="54"/>
    </row>
    <row r="1203" spans="4:16" x14ac:dyDescent="0.2">
      <c r="D1203" s="54"/>
      <c r="G1203" s="54"/>
      <c r="H1203" s="54"/>
      <c r="I1203" s="54"/>
      <c r="J1203" s="54"/>
      <c r="K1203" s="54"/>
      <c r="L1203" s="54"/>
      <c r="M1203" s="54"/>
      <c r="O1203" s="56"/>
      <c r="P1203" s="54"/>
    </row>
    <row r="1204" spans="4:16" x14ac:dyDescent="0.2">
      <c r="D1204" s="54"/>
      <c r="G1204" s="54"/>
      <c r="H1204" s="54"/>
      <c r="I1204" s="54"/>
      <c r="J1204" s="54"/>
      <c r="K1204" s="54"/>
      <c r="L1204" s="54"/>
      <c r="M1204" s="54"/>
      <c r="O1204" s="56"/>
      <c r="P1204" s="54"/>
    </row>
    <row r="1205" spans="4:16" x14ac:dyDescent="0.2">
      <c r="D1205" s="54"/>
      <c r="G1205" s="54"/>
      <c r="H1205" s="54"/>
      <c r="I1205" s="54"/>
      <c r="J1205" s="54"/>
      <c r="K1205" s="54"/>
      <c r="L1205" s="54"/>
      <c r="M1205" s="54"/>
      <c r="O1205" s="56"/>
      <c r="P1205" s="54"/>
    </row>
    <row r="1206" spans="4:16" x14ac:dyDescent="0.2">
      <c r="D1206" s="54"/>
      <c r="G1206" s="54"/>
      <c r="H1206" s="54"/>
      <c r="I1206" s="54"/>
      <c r="J1206" s="54"/>
      <c r="K1206" s="54"/>
      <c r="L1206" s="54"/>
      <c r="M1206" s="54"/>
      <c r="O1206" s="56"/>
      <c r="P1206" s="54"/>
    </row>
    <row r="1207" spans="4:16" x14ac:dyDescent="0.2">
      <c r="D1207" s="54"/>
      <c r="G1207" s="54"/>
      <c r="H1207" s="54"/>
      <c r="I1207" s="54"/>
      <c r="J1207" s="54"/>
      <c r="K1207" s="54"/>
      <c r="L1207" s="54"/>
      <c r="M1207" s="54"/>
      <c r="O1207" s="56"/>
      <c r="P1207" s="54"/>
    </row>
    <row r="1208" spans="4:16" x14ac:dyDescent="0.2">
      <c r="D1208" s="54"/>
      <c r="G1208" s="54"/>
      <c r="H1208" s="54"/>
      <c r="I1208" s="54"/>
      <c r="J1208" s="54"/>
      <c r="K1208" s="54"/>
      <c r="L1208" s="54"/>
      <c r="M1208" s="54"/>
      <c r="O1208" s="56"/>
      <c r="P1208" s="54"/>
    </row>
    <row r="1209" spans="4:16" x14ac:dyDescent="0.2">
      <c r="D1209" s="54"/>
      <c r="G1209" s="54"/>
      <c r="H1209" s="54"/>
      <c r="I1209" s="54"/>
      <c r="J1209" s="54"/>
      <c r="K1209" s="54"/>
      <c r="L1209" s="54"/>
      <c r="M1209" s="54"/>
      <c r="O1209" s="56"/>
      <c r="P1209" s="54"/>
    </row>
    <row r="1210" spans="4:16" x14ac:dyDescent="0.2">
      <c r="D1210" s="54"/>
      <c r="G1210" s="54"/>
      <c r="H1210" s="54"/>
      <c r="I1210" s="54"/>
      <c r="J1210" s="54"/>
      <c r="K1210" s="54"/>
      <c r="L1210" s="54"/>
      <c r="M1210" s="54"/>
      <c r="O1210" s="56"/>
      <c r="P1210" s="54"/>
    </row>
    <row r="1211" spans="4:16" x14ac:dyDescent="0.2">
      <c r="D1211" s="54"/>
      <c r="G1211" s="54"/>
      <c r="H1211" s="54"/>
      <c r="I1211" s="54"/>
      <c r="J1211" s="54"/>
      <c r="K1211" s="54"/>
      <c r="L1211" s="54"/>
      <c r="M1211" s="54"/>
      <c r="O1211" s="56"/>
      <c r="P1211" s="54"/>
    </row>
    <row r="1212" spans="4:16" x14ac:dyDescent="0.2">
      <c r="D1212" s="54"/>
      <c r="G1212" s="54"/>
      <c r="H1212" s="54"/>
      <c r="I1212" s="54"/>
      <c r="J1212" s="54"/>
      <c r="K1212" s="54"/>
      <c r="L1212" s="54"/>
      <c r="M1212" s="54"/>
      <c r="O1212" s="56"/>
      <c r="P1212" s="54"/>
    </row>
    <row r="1213" spans="4:16" x14ac:dyDescent="0.2">
      <c r="D1213" s="54"/>
      <c r="G1213" s="54"/>
      <c r="H1213" s="54"/>
      <c r="I1213" s="54"/>
      <c r="J1213" s="54"/>
      <c r="K1213" s="54"/>
      <c r="L1213" s="54"/>
      <c r="M1213" s="54"/>
      <c r="O1213" s="56"/>
      <c r="P1213" s="54"/>
    </row>
    <row r="1214" spans="4:16" x14ac:dyDescent="0.2">
      <c r="D1214" s="54"/>
      <c r="G1214" s="54"/>
      <c r="H1214" s="54"/>
      <c r="I1214" s="54"/>
      <c r="J1214" s="54"/>
      <c r="K1214" s="54"/>
      <c r="L1214" s="54"/>
      <c r="M1214" s="54"/>
      <c r="O1214" s="56"/>
      <c r="P1214" s="54"/>
    </row>
    <row r="1215" spans="4:16" x14ac:dyDescent="0.2">
      <c r="D1215" s="54"/>
      <c r="G1215" s="54"/>
      <c r="H1215" s="54"/>
      <c r="I1215" s="54"/>
      <c r="J1215" s="54"/>
      <c r="K1215" s="54"/>
      <c r="L1215" s="54"/>
      <c r="M1215" s="54"/>
      <c r="O1215" s="56"/>
      <c r="P1215" s="54"/>
    </row>
    <row r="1216" spans="4:16" x14ac:dyDescent="0.2">
      <c r="D1216" s="54"/>
      <c r="G1216" s="54"/>
      <c r="H1216" s="54"/>
      <c r="I1216" s="54"/>
      <c r="J1216" s="54"/>
      <c r="K1216" s="54"/>
      <c r="L1216" s="54"/>
      <c r="M1216" s="54"/>
      <c r="O1216" s="56"/>
    </row>
    <row r="1217" spans="4:15" x14ac:dyDescent="0.2">
      <c r="D1217" s="54"/>
      <c r="G1217" s="54"/>
      <c r="H1217" s="54"/>
      <c r="I1217" s="54"/>
      <c r="J1217" s="54"/>
      <c r="K1217" s="54"/>
      <c r="L1217" s="54"/>
      <c r="M1217" s="54"/>
      <c r="O1217" s="56"/>
    </row>
    <row r="1218" spans="4:15" x14ac:dyDescent="0.2">
      <c r="D1218" s="54"/>
      <c r="G1218" s="54"/>
      <c r="H1218" s="54"/>
      <c r="I1218" s="54"/>
      <c r="J1218" s="54"/>
      <c r="K1218" s="54"/>
      <c r="L1218" s="54"/>
      <c r="M1218" s="54"/>
      <c r="O1218" s="56"/>
    </row>
    <row r="1219" spans="4:15" x14ac:dyDescent="0.2">
      <c r="D1219" s="54"/>
      <c r="G1219" s="54"/>
      <c r="H1219" s="54"/>
      <c r="I1219" s="54"/>
      <c r="J1219" s="54"/>
      <c r="K1219" s="54"/>
      <c r="L1219" s="54"/>
      <c r="M1219" s="54"/>
      <c r="O1219" s="56"/>
    </row>
    <row r="1220" spans="4:15" x14ac:dyDescent="0.2">
      <c r="D1220" s="54"/>
      <c r="H1220" s="54"/>
      <c r="I1220" s="54"/>
      <c r="J1220" s="54"/>
      <c r="K1220" s="54"/>
      <c r="L1220" s="54"/>
      <c r="M1220" s="54"/>
    </row>
    <row r="1221" spans="4:15" x14ac:dyDescent="0.2">
      <c r="M1221" s="54"/>
    </row>
  </sheetData>
  <sheetProtection algorithmName="SHA-512" hashValue="Dx01VNyDrbbCM3+cUnwIsbI0S3zc+ZxEddrtZohTd/tT8ayluu1/Q0jx9LdoL9XPPNZjTQB9vYRMJ95kA+x6CA==" saltValue="DYrfyc9tXVZsPzTyrO04Fg==" spinCount="100000" sheet="1" objects="1" scenarios="1"/>
  <mergeCells count="9">
    <mergeCell ref="D17:D18"/>
    <mergeCell ref="H63:I63"/>
    <mergeCell ref="H64:I64"/>
    <mergeCell ref="H65:I65"/>
    <mergeCell ref="H62:I62"/>
    <mergeCell ref="E22:F22"/>
    <mergeCell ref="M52:N52"/>
    <mergeCell ref="M3:N3"/>
    <mergeCell ref="M17:N17"/>
  </mergeCells>
  <phoneticPr fontId="0" type="noConversion"/>
  <printOptions horizontalCentered="1" verticalCentered="1"/>
  <pageMargins left="0" right="0" top="0.59055118110236227" bottom="0.19685039370078741" header="0.31496062992125984" footer="0.51181102362204722"/>
  <pageSetup paperSize="9" scale="60" orientation="portrait" r:id="rId1"/>
  <headerFooter alignWithMargins="0">
    <oddHeader>&amp;CNassington Parish Council
&amp;A&amp;RAccounts to 31 March 2021</oddHeader>
  </headerFooter>
  <ignoredErrors>
    <ignoredError sqref="I38"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44"/>
    <pageSetUpPr fitToPage="1"/>
  </sheetPr>
  <dimension ref="A1:IU62"/>
  <sheetViews>
    <sheetView showGridLines="0" zoomScaleNormal="100" workbookViewId="0">
      <pane xSplit="2" ySplit="3" topLeftCell="C4" activePane="bottomRight" state="frozen"/>
      <selection activeCell="E22" sqref="E22"/>
      <selection pane="topRight" activeCell="E22" sqref="E22"/>
      <selection pane="bottomLeft" activeCell="E22" sqref="E22"/>
      <selection pane="bottomRight" activeCell="E22" sqref="E22"/>
    </sheetView>
  </sheetViews>
  <sheetFormatPr defaultColWidth="9.140625" defaultRowHeight="12.75" x14ac:dyDescent="0.2"/>
  <cols>
    <col min="1" max="1" width="3.42578125" style="8" customWidth="1"/>
    <col min="2" max="2" width="10.28515625" style="4" customWidth="1"/>
    <col min="3" max="3" width="30.140625" style="4" customWidth="1"/>
    <col min="4" max="4" width="8.7109375" style="1" bestFit="1" customWidth="1"/>
    <col min="5" max="5" width="14.140625" style="5" customWidth="1"/>
    <col min="6" max="6" width="9.28515625" style="5" bestFit="1" customWidth="1"/>
    <col min="7" max="8" width="10.7109375" style="5" customWidth="1"/>
    <col min="9" max="9" width="10.5703125" style="5" customWidth="1"/>
    <col min="10" max="10" width="9.5703125" style="5" customWidth="1"/>
    <col min="11" max="12" width="10.5703125" style="5" bestFit="1" customWidth="1"/>
    <col min="13" max="13" width="10.5703125" style="1" bestFit="1" customWidth="1"/>
    <col min="14" max="14" width="16.5703125" style="608" customWidth="1"/>
    <col min="15" max="15" width="3.42578125" style="8" customWidth="1"/>
    <col min="16" max="16" width="9.85546875" style="8" customWidth="1"/>
    <col min="17" max="18" width="9.28515625" style="8" bestFit="1" customWidth="1"/>
    <col min="19" max="19" width="9.140625" style="8"/>
    <col min="20" max="20" width="9.85546875" style="8" customWidth="1"/>
    <col min="21" max="21" width="9.140625" style="8"/>
    <col min="22" max="22" width="9.28515625" style="8" bestFit="1" customWidth="1"/>
    <col min="23" max="16384" width="9.140625" style="8"/>
  </cols>
  <sheetData>
    <row r="1" spans="1:255" s="2" customFormat="1" ht="16.5" thickBot="1" x14ac:dyDescent="0.3">
      <c r="A1" s="9"/>
      <c r="B1" s="3"/>
      <c r="C1" s="7" t="s">
        <v>41</v>
      </c>
      <c r="D1" s="10"/>
      <c r="E1" s="1"/>
      <c r="F1" s="1"/>
      <c r="G1" s="1"/>
      <c r="H1" s="1"/>
      <c r="I1" s="1"/>
      <c r="J1" s="1"/>
      <c r="K1" s="1"/>
      <c r="L1" s="1"/>
      <c r="M1" s="1"/>
      <c r="N1" s="608"/>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row>
    <row r="2" spans="1:255" s="4" customFormat="1" ht="14.25" customHeight="1" x14ac:dyDescent="0.2">
      <c r="A2" s="8"/>
      <c r="B2" s="1055" t="s">
        <v>3</v>
      </c>
      <c r="C2" s="1047" t="s">
        <v>4</v>
      </c>
      <c r="D2" s="1057" t="s">
        <v>11</v>
      </c>
      <c r="E2" s="1059" t="s">
        <v>8</v>
      </c>
      <c r="F2" s="1047" t="s">
        <v>30</v>
      </c>
      <c r="G2" s="1047" t="s">
        <v>27</v>
      </c>
      <c r="H2" s="1049" t="s">
        <v>64</v>
      </c>
      <c r="I2" s="1049" t="s">
        <v>290</v>
      </c>
      <c r="J2" s="1047" t="s">
        <v>14</v>
      </c>
      <c r="K2" s="1047" t="s">
        <v>10</v>
      </c>
      <c r="L2" s="1059" t="s">
        <v>13</v>
      </c>
      <c r="M2" s="1063" t="s">
        <v>15</v>
      </c>
      <c r="N2" s="1061"/>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row>
    <row r="3" spans="1:255" s="4" customFormat="1" ht="14.25" customHeight="1" x14ac:dyDescent="0.2">
      <c r="A3" s="8"/>
      <c r="B3" s="1056"/>
      <c r="C3" s="1048"/>
      <c r="D3" s="1058"/>
      <c r="E3" s="1060"/>
      <c r="F3" s="1048"/>
      <c r="G3" s="1048"/>
      <c r="H3" s="1050"/>
      <c r="I3" s="1050"/>
      <c r="J3" s="1048"/>
      <c r="K3" s="1048"/>
      <c r="L3" s="1060"/>
      <c r="M3" s="1064"/>
      <c r="N3" s="1062"/>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row>
    <row r="4" spans="1:255" s="14" customFormat="1" ht="15" customHeight="1" x14ac:dyDescent="0.2">
      <c r="A4" s="26" t="s">
        <v>243</v>
      </c>
      <c r="B4" s="36">
        <v>44287</v>
      </c>
      <c r="C4" s="37" t="s">
        <v>459</v>
      </c>
      <c r="D4" s="38" t="s">
        <v>356</v>
      </c>
      <c r="E4" s="30"/>
      <c r="F4" s="30"/>
      <c r="G4" s="30">
        <v>12</v>
      </c>
      <c r="H4" s="30"/>
      <c r="I4" s="30"/>
      <c r="J4" s="30"/>
      <c r="K4" s="30"/>
      <c r="L4" s="30"/>
      <c r="M4" s="39">
        <f t="shared" ref="M4:M58" si="0">SUM(E4:L4)</f>
        <v>12</v>
      </c>
      <c r="N4" s="1008" t="s">
        <v>461</v>
      </c>
      <c r="O4" s="13"/>
      <c r="P4" s="13"/>
      <c r="Q4" s="13"/>
      <c r="R4" s="13"/>
      <c r="S4" s="13"/>
      <c r="T4" s="13"/>
      <c r="U4" s="13"/>
      <c r="V4" s="13"/>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s="12" customFormat="1" ht="15" customHeight="1" x14ac:dyDescent="0.2">
      <c r="A5" s="26" t="s">
        <v>258</v>
      </c>
      <c r="B5" s="355">
        <v>44287</v>
      </c>
      <c r="C5" s="359" t="s">
        <v>459</v>
      </c>
      <c r="D5" s="357" t="s">
        <v>356</v>
      </c>
      <c r="E5" s="975"/>
      <c r="F5" s="975"/>
      <c r="G5" s="975">
        <v>32</v>
      </c>
      <c r="H5" s="975"/>
      <c r="I5" s="975"/>
      <c r="J5" s="975"/>
      <c r="K5" s="975"/>
      <c r="L5" s="975"/>
      <c r="M5" s="358">
        <f t="shared" si="0"/>
        <v>32</v>
      </c>
      <c r="N5" s="1009" t="s">
        <v>462</v>
      </c>
      <c r="O5" s="26"/>
      <c r="P5" s="26"/>
      <c r="Q5" s="26"/>
      <c r="R5" s="26"/>
      <c r="S5" s="26"/>
      <c r="T5" s="26"/>
      <c r="U5" s="26"/>
      <c r="V5" s="26"/>
      <c r="W5" s="27"/>
      <c r="X5" s="27"/>
      <c r="Y5" s="27"/>
      <c r="Z5" s="27"/>
      <c r="AA5" s="27"/>
      <c r="AB5" s="27"/>
      <c r="AC5" s="27"/>
      <c r="AD5" s="27"/>
      <c r="AE5" s="27"/>
      <c r="AF5" s="27"/>
      <c r="AG5" s="27"/>
      <c r="AH5" s="27"/>
      <c r="AI5" s="27"/>
      <c r="AJ5" s="23"/>
      <c r="AK5" s="23"/>
      <c r="AL5" s="23"/>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row>
    <row r="6" spans="1:255" s="25" customFormat="1" ht="15" customHeight="1" x14ac:dyDescent="0.2">
      <c r="A6" s="27" t="s">
        <v>259</v>
      </c>
      <c r="B6" s="36">
        <v>44314</v>
      </c>
      <c r="C6" s="44" t="s">
        <v>8</v>
      </c>
      <c r="D6" s="38" t="s">
        <v>357</v>
      </c>
      <c r="E6" s="30">
        <v>49755</v>
      </c>
      <c r="F6" s="30"/>
      <c r="G6" s="30"/>
      <c r="H6" s="30"/>
      <c r="I6" s="30"/>
      <c r="J6" s="30"/>
      <c r="K6" s="30"/>
      <c r="L6" s="30"/>
      <c r="M6" s="39">
        <f t="shared" si="0"/>
        <v>49755</v>
      </c>
      <c r="N6" s="1010"/>
      <c r="O6" s="21"/>
      <c r="P6" s="18"/>
      <c r="Q6" s="18"/>
      <c r="R6" s="18"/>
      <c r="S6" s="18"/>
      <c r="T6" s="18"/>
      <c r="U6" s="18"/>
      <c r="V6" s="24"/>
      <c r="W6" s="22"/>
      <c r="X6" s="18"/>
      <c r="Y6" s="21"/>
      <c r="Z6" s="18"/>
      <c r="AA6" s="18"/>
      <c r="AB6" s="18"/>
      <c r="AC6" s="18"/>
      <c r="AD6" s="18"/>
      <c r="AE6" s="18"/>
      <c r="AF6" s="18"/>
      <c r="AG6" s="24"/>
      <c r="AH6" s="22"/>
      <c r="AI6" s="18"/>
      <c r="AJ6" s="21"/>
      <c r="AK6" s="18"/>
      <c r="AL6" s="18"/>
      <c r="AM6" s="18"/>
      <c r="AN6" s="18"/>
      <c r="AO6" s="18"/>
      <c r="AP6" s="18"/>
      <c r="AQ6" s="18"/>
      <c r="AR6" s="24"/>
      <c r="AS6" s="22"/>
      <c r="AT6" s="18"/>
      <c r="AU6" s="21"/>
      <c r="AV6" s="18"/>
      <c r="AW6" s="18"/>
      <c r="AX6" s="18"/>
      <c r="AY6" s="18"/>
      <c r="AZ6" s="18"/>
      <c r="BA6" s="18"/>
      <c r="BB6" s="18"/>
      <c r="BC6" s="24"/>
      <c r="BD6" s="22"/>
      <c r="BE6" s="18"/>
      <c r="BF6" s="21"/>
      <c r="BG6" s="18"/>
      <c r="BH6" s="18"/>
      <c r="BI6" s="18"/>
      <c r="BJ6" s="18"/>
      <c r="BK6" s="18"/>
      <c r="BL6" s="18"/>
      <c r="BM6" s="18"/>
      <c r="BN6" s="24"/>
      <c r="BO6" s="22"/>
      <c r="BP6" s="18"/>
      <c r="BQ6" s="21"/>
      <c r="BR6" s="18"/>
      <c r="BS6" s="18"/>
      <c r="BT6" s="18"/>
      <c r="BU6" s="18"/>
      <c r="BV6" s="18"/>
      <c r="BW6" s="18"/>
      <c r="BX6" s="18"/>
      <c r="BY6" s="24"/>
      <c r="BZ6" s="22"/>
      <c r="CA6" s="18"/>
      <c r="CB6" s="21"/>
      <c r="CC6" s="18"/>
      <c r="CD6" s="18"/>
      <c r="CE6" s="18"/>
      <c r="CF6" s="18"/>
      <c r="CG6" s="18"/>
      <c r="CH6" s="18"/>
      <c r="CI6" s="18"/>
      <c r="CJ6" s="24"/>
      <c r="CK6" s="22"/>
      <c r="CL6" s="18"/>
      <c r="CM6" s="21"/>
      <c r="CN6" s="18"/>
      <c r="CO6" s="18"/>
      <c r="CP6" s="18"/>
      <c r="CQ6" s="18"/>
      <c r="CR6" s="18"/>
      <c r="CS6" s="18"/>
      <c r="CT6" s="18"/>
      <c r="CU6" s="24"/>
      <c r="CV6" s="22"/>
      <c r="CW6" s="18"/>
      <c r="CX6" s="21"/>
      <c r="CY6" s="18"/>
      <c r="CZ6" s="18"/>
      <c r="DA6" s="18"/>
      <c r="DB6" s="18"/>
      <c r="DC6" s="18"/>
      <c r="DD6" s="18"/>
      <c r="DE6" s="18"/>
      <c r="DF6" s="24"/>
      <c r="DG6" s="22"/>
      <c r="DH6" s="18"/>
      <c r="DI6" s="21"/>
      <c r="DJ6" s="18"/>
      <c r="DK6" s="18"/>
      <c r="DL6" s="18"/>
      <c r="DM6" s="18"/>
      <c r="DN6" s="18"/>
      <c r="DO6" s="18"/>
      <c r="DP6" s="18"/>
      <c r="DQ6" s="24"/>
      <c r="DR6" s="22"/>
      <c r="DS6" s="18"/>
      <c r="DT6" s="21"/>
      <c r="DU6" s="18"/>
      <c r="DV6" s="18"/>
      <c r="DW6" s="18"/>
      <c r="DX6" s="18"/>
      <c r="DY6" s="18"/>
      <c r="DZ6" s="18"/>
      <c r="EA6" s="18"/>
      <c r="EB6" s="24"/>
      <c r="EC6" s="22"/>
      <c r="ED6" s="18"/>
      <c r="EE6" s="21"/>
      <c r="EF6" s="18"/>
      <c r="EG6" s="18"/>
      <c r="EH6" s="18"/>
      <c r="EI6" s="18"/>
      <c r="EJ6" s="18"/>
      <c r="EK6" s="18"/>
      <c r="EL6" s="18"/>
      <c r="EM6" s="24"/>
      <c r="EN6" s="22"/>
      <c r="EO6" s="18"/>
      <c r="EP6" s="21"/>
      <c r="EQ6" s="18"/>
      <c r="ER6" s="18"/>
      <c r="ES6" s="18"/>
      <c r="ET6" s="18"/>
      <c r="EU6" s="18"/>
      <c r="EV6" s="18"/>
      <c r="EW6" s="18"/>
      <c r="EX6" s="24"/>
      <c r="EY6" s="22"/>
      <c r="EZ6" s="18"/>
      <c r="FA6" s="21"/>
      <c r="FB6" s="18"/>
      <c r="FC6" s="18"/>
      <c r="FD6" s="18"/>
      <c r="FE6" s="18"/>
      <c r="FF6" s="18"/>
      <c r="FG6" s="18"/>
      <c r="FH6" s="18"/>
      <c r="FI6" s="24"/>
      <c r="FJ6" s="22"/>
      <c r="FK6" s="18"/>
      <c r="FL6" s="21"/>
      <c r="FM6" s="18"/>
      <c r="FN6" s="18"/>
      <c r="FO6" s="18"/>
      <c r="FP6" s="18"/>
      <c r="FQ6" s="18"/>
      <c r="FR6" s="18"/>
      <c r="FS6" s="18"/>
      <c r="FT6" s="24"/>
      <c r="FU6" s="22"/>
      <c r="FV6" s="18"/>
      <c r="FW6" s="21"/>
      <c r="FX6" s="18"/>
      <c r="FY6" s="18"/>
      <c r="FZ6" s="18"/>
      <c r="GA6" s="18"/>
      <c r="GB6" s="18"/>
      <c r="GC6" s="18"/>
      <c r="GD6" s="18"/>
      <c r="GE6" s="24"/>
      <c r="GF6" s="22"/>
      <c r="GG6" s="18"/>
      <c r="GH6" s="21"/>
      <c r="GI6" s="18"/>
      <c r="GJ6" s="18"/>
      <c r="GK6" s="18"/>
      <c r="GL6" s="18"/>
      <c r="GM6" s="18"/>
      <c r="GN6" s="18"/>
      <c r="GO6" s="18"/>
      <c r="GP6" s="24"/>
      <c r="GQ6" s="22"/>
      <c r="GR6" s="18"/>
      <c r="GS6" s="21"/>
      <c r="GT6" s="18"/>
      <c r="GU6" s="18"/>
      <c r="GV6" s="18"/>
      <c r="GW6" s="18"/>
      <c r="GX6" s="18"/>
      <c r="GY6" s="18"/>
      <c r="GZ6" s="18"/>
      <c r="HA6" s="24"/>
      <c r="HB6" s="22"/>
      <c r="HC6" s="18"/>
      <c r="HD6" s="21"/>
      <c r="HE6" s="18"/>
      <c r="HF6" s="18"/>
      <c r="HG6" s="18"/>
      <c r="HH6" s="18"/>
      <c r="HI6" s="18"/>
      <c r="HJ6" s="18"/>
      <c r="HK6" s="18"/>
      <c r="HL6" s="24"/>
      <c r="HM6" s="22"/>
      <c r="HN6" s="18"/>
      <c r="HO6" s="21"/>
      <c r="HP6" s="18"/>
      <c r="HQ6" s="18"/>
      <c r="HR6" s="18"/>
      <c r="HS6" s="18"/>
      <c r="HT6" s="18"/>
      <c r="HU6" s="18"/>
      <c r="HV6" s="18"/>
      <c r="HW6" s="24"/>
      <c r="HX6" s="22"/>
      <c r="HY6" s="18"/>
      <c r="HZ6" s="21"/>
      <c r="IA6" s="18"/>
      <c r="IB6" s="18"/>
      <c r="IC6" s="18"/>
      <c r="ID6" s="18"/>
      <c r="IE6" s="18"/>
      <c r="IF6" s="18"/>
      <c r="IG6" s="18"/>
      <c r="IH6" s="24"/>
      <c r="II6" s="22"/>
      <c r="IJ6" s="18"/>
      <c r="IK6" s="21"/>
      <c r="IL6" s="18"/>
      <c r="IM6" s="23"/>
      <c r="IN6" s="23"/>
      <c r="IO6" s="23"/>
      <c r="IP6" s="23"/>
      <c r="IQ6" s="23"/>
      <c r="IR6" s="23"/>
      <c r="IS6" s="23"/>
      <c r="IT6" s="23"/>
      <c r="IU6" s="23"/>
    </row>
    <row r="7" spans="1:255" s="25" customFormat="1" ht="15" customHeight="1" x14ac:dyDescent="0.2">
      <c r="A7" s="26" t="s">
        <v>145</v>
      </c>
      <c r="B7" s="355">
        <v>44323</v>
      </c>
      <c r="C7" s="359" t="s">
        <v>459</v>
      </c>
      <c r="D7" s="357" t="s">
        <v>356</v>
      </c>
      <c r="E7" s="975"/>
      <c r="F7" s="975"/>
      <c r="G7" s="361">
        <v>32</v>
      </c>
      <c r="H7" s="361"/>
      <c r="I7" s="975"/>
      <c r="J7" s="975"/>
      <c r="K7" s="975"/>
      <c r="L7" s="975"/>
      <c r="M7" s="358">
        <f t="shared" si="0"/>
        <v>32</v>
      </c>
      <c r="N7" s="1011" t="s">
        <v>463</v>
      </c>
      <c r="O7" s="21"/>
      <c r="P7" s="18"/>
      <c r="Q7" s="18"/>
      <c r="R7" s="18"/>
      <c r="S7" s="18"/>
      <c r="T7" s="18"/>
      <c r="U7" s="18"/>
      <c r="V7" s="24"/>
      <c r="W7" s="22"/>
      <c r="X7" s="18"/>
      <c r="Y7" s="21"/>
      <c r="Z7" s="18"/>
      <c r="AA7" s="18"/>
      <c r="AB7" s="18"/>
      <c r="AC7" s="18"/>
      <c r="AD7" s="18"/>
      <c r="AE7" s="18"/>
      <c r="AF7" s="18"/>
      <c r="AG7" s="24"/>
      <c r="AH7" s="22"/>
      <c r="AI7" s="18"/>
      <c r="AJ7" s="21"/>
      <c r="AK7" s="18"/>
      <c r="AL7" s="18"/>
      <c r="AM7" s="18"/>
      <c r="AN7" s="18"/>
      <c r="AO7" s="18"/>
      <c r="AP7" s="18"/>
      <c r="AQ7" s="18"/>
      <c r="AR7" s="24"/>
      <c r="AS7" s="22"/>
      <c r="AT7" s="18"/>
      <c r="AU7" s="21"/>
      <c r="AV7" s="18"/>
      <c r="AW7" s="18"/>
      <c r="AX7" s="18"/>
      <c r="AY7" s="18"/>
      <c r="AZ7" s="18"/>
      <c r="BA7" s="18"/>
      <c r="BB7" s="18"/>
      <c r="BC7" s="24"/>
      <c r="BD7" s="22"/>
      <c r="BE7" s="18"/>
      <c r="BF7" s="21"/>
      <c r="BG7" s="18"/>
      <c r="BH7" s="18"/>
      <c r="BI7" s="18"/>
      <c r="BJ7" s="18"/>
      <c r="BK7" s="18"/>
      <c r="BL7" s="18"/>
      <c r="BM7" s="18"/>
      <c r="BN7" s="24"/>
      <c r="BO7" s="22"/>
      <c r="BP7" s="18"/>
      <c r="BQ7" s="21"/>
      <c r="BR7" s="18"/>
      <c r="BS7" s="18"/>
      <c r="BT7" s="18"/>
      <c r="BU7" s="18"/>
      <c r="BV7" s="18"/>
      <c r="BW7" s="18"/>
      <c r="BX7" s="18"/>
      <c r="BY7" s="24"/>
      <c r="BZ7" s="22"/>
      <c r="CA7" s="18"/>
      <c r="CB7" s="21"/>
      <c r="CC7" s="18"/>
      <c r="CD7" s="18"/>
      <c r="CE7" s="18"/>
      <c r="CF7" s="18"/>
      <c r="CG7" s="18"/>
      <c r="CH7" s="18"/>
      <c r="CI7" s="18"/>
      <c r="CJ7" s="24"/>
      <c r="CK7" s="22"/>
      <c r="CL7" s="18"/>
      <c r="CM7" s="21"/>
      <c r="CN7" s="18"/>
      <c r="CO7" s="18"/>
      <c r="CP7" s="18"/>
      <c r="CQ7" s="18"/>
      <c r="CR7" s="18"/>
      <c r="CS7" s="18"/>
      <c r="CT7" s="18"/>
      <c r="CU7" s="24"/>
      <c r="CV7" s="22"/>
      <c r="CW7" s="18"/>
      <c r="CX7" s="21"/>
      <c r="CY7" s="18"/>
      <c r="CZ7" s="18"/>
      <c r="DA7" s="18"/>
      <c r="DB7" s="18"/>
      <c r="DC7" s="18"/>
      <c r="DD7" s="18"/>
      <c r="DE7" s="18"/>
      <c r="DF7" s="24"/>
      <c r="DG7" s="22"/>
      <c r="DH7" s="18"/>
      <c r="DI7" s="21"/>
      <c r="DJ7" s="18"/>
      <c r="DK7" s="18"/>
      <c r="DL7" s="18"/>
      <c r="DM7" s="18"/>
      <c r="DN7" s="18"/>
      <c r="DO7" s="18"/>
      <c r="DP7" s="18"/>
      <c r="DQ7" s="24"/>
      <c r="DR7" s="22"/>
      <c r="DS7" s="18"/>
      <c r="DT7" s="21"/>
      <c r="DU7" s="18"/>
      <c r="DV7" s="18"/>
      <c r="DW7" s="18"/>
      <c r="DX7" s="18"/>
      <c r="DY7" s="18"/>
      <c r="DZ7" s="18"/>
      <c r="EA7" s="18"/>
      <c r="EB7" s="24"/>
      <c r="EC7" s="22"/>
      <c r="ED7" s="18"/>
      <c r="EE7" s="21"/>
      <c r="EF7" s="18"/>
      <c r="EG7" s="18"/>
      <c r="EH7" s="18"/>
      <c r="EI7" s="18"/>
      <c r="EJ7" s="18"/>
      <c r="EK7" s="18"/>
      <c r="EL7" s="18"/>
      <c r="EM7" s="24"/>
      <c r="EN7" s="22"/>
      <c r="EO7" s="18"/>
      <c r="EP7" s="21"/>
      <c r="EQ7" s="18"/>
      <c r="ER7" s="18"/>
      <c r="ES7" s="18"/>
      <c r="ET7" s="18"/>
      <c r="EU7" s="18"/>
      <c r="EV7" s="18"/>
      <c r="EW7" s="18"/>
      <c r="EX7" s="24"/>
      <c r="EY7" s="22"/>
      <c r="EZ7" s="18"/>
      <c r="FA7" s="21"/>
      <c r="FB7" s="18"/>
      <c r="FC7" s="18"/>
      <c r="FD7" s="18"/>
      <c r="FE7" s="18"/>
      <c r="FF7" s="18"/>
      <c r="FG7" s="18"/>
      <c r="FH7" s="18"/>
      <c r="FI7" s="24"/>
      <c r="FJ7" s="22"/>
      <c r="FK7" s="18"/>
      <c r="FL7" s="21"/>
      <c r="FM7" s="18"/>
      <c r="FN7" s="18"/>
      <c r="FO7" s="18"/>
      <c r="FP7" s="18"/>
      <c r="FQ7" s="18"/>
      <c r="FR7" s="18"/>
      <c r="FS7" s="18"/>
      <c r="FT7" s="24"/>
      <c r="FU7" s="22"/>
      <c r="FV7" s="18"/>
      <c r="FW7" s="21"/>
      <c r="FX7" s="18"/>
      <c r="FY7" s="18"/>
      <c r="FZ7" s="18"/>
      <c r="GA7" s="18"/>
      <c r="GB7" s="18"/>
      <c r="GC7" s="18"/>
      <c r="GD7" s="18"/>
      <c r="GE7" s="24"/>
      <c r="GF7" s="22"/>
      <c r="GG7" s="18"/>
      <c r="GH7" s="21"/>
      <c r="GI7" s="18"/>
      <c r="GJ7" s="18"/>
      <c r="GK7" s="18"/>
      <c r="GL7" s="18"/>
      <c r="GM7" s="18"/>
      <c r="GN7" s="18"/>
      <c r="GO7" s="18"/>
      <c r="GP7" s="24"/>
      <c r="GQ7" s="22"/>
      <c r="GR7" s="18"/>
      <c r="GS7" s="21"/>
      <c r="GT7" s="18"/>
      <c r="GU7" s="18"/>
      <c r="GV7" s="18"/>
      <c r="GW7" s="18"/>
      <c r="GX7" s="18"/>
      <c r="GY7" s="18"/>
      <c r="GZ7" s="18"/>
      <c r="HA7" s="24"/>
      <c r="HB7" s="22"/>
      <c r="HC7" s="18"/>
      <c r="HD7" s="21"/>
      <c r="HE7" s="18"/>
      <c r="HF7" s="18"/>
      <c r="HG7" s="18"/>
      <c r="HH7" s="18"/>
      <c r="HI7" s="18"/>
      <c r="HJ7" s="18"/>
      <c r="HK7" s="18"/>
      <c r="HL7" s="24"/>
      <c r="HM7" s="22"/>
      <c r="HN7" s="18"/>
      <c r="HO7" s="21"/>
      <c r="HP7" s="18"/>
      <c r="HQ7" s="18"/>
      <c r="HR7" s="18"/>
      <c r="HS7" s="18"/>
      <c r="HT7" s="18"/>
      <c r="HU7" s="18"/>
      <c r="HV7" s="18"/>
      <c r="HW7" s="24"/>
      <c r="HX7" s="22"/>
      <c r="HY7" s="18"/>
      <c r="HZ7" s="21"/>
      <c r="IA7" s="18"/>
      <c r="IB7" s="18"/>
      <c r="IC7" s="18"/>
      <c r="ID7" s="18"/>
      <c r="IE7" s="18"/>
      <c r="IF7" s="18"/>
      <c r="IG7" s="18"/>
      <c r="IH7" s="24"/>
      <c r="II7" s="22"/>
      <c r="IJ7" s="18"/>
      <c r="IK7" s="21"/>
      <c r="IL7" s="18"/>
      <c r="IM7" s="23"/>
      <c r="IN7" s="23"/>
      <c r="IO7" s="23"/>
      <c r="IP7" s="23"/>
      <c r="IQ7" s="23"/>
      <c r="IR7" s="23"/>
      <c r="IS7" s="23"/>
      <c r="IT7" s="23"/>
      <c r="IU7" s="23"/>
    </row>
    <row r="8" spans="1:255" s="25" customFormat="1" ht="15" customHeight="1" x14ac:dyDescent="0.2">
      <c r="A8" s="26"/>
      <c r="B8" s="45">
        <v>44354</v>
      </c>
      <c r="C8" s="46" t="s">
        <v>460</v>
      </c>
      <c r="D8" s="47" t="s">
        <v>357</v>
      </c>
      <c r="E8" s="353"/>
      <c r="F8" s="353"/>
      <c r="G8" s="354"/>
      <c r="H8" s="354"/>
      <c r="I8" s="353"/>
      <c r="J8" s="353">
        <v>46.18</v>
      </c>
      <c r="K8" s="353"/>
      <c r="L8" s="353"/>
      <c r="M8" s="39">
        <f t="shared" si="0"/>
        <v>46.18</v>
      </c>
      <c r="N8" s="1012"/>
      <c r="O8" s="21"/>
      <c r="P8" s="18"/>
      <c r="Q8" s="18"/>
      <c r="R8" s="18"/>
      <c r="S8" s="18"/>
      <c r="T8" s="18"/>
      <c r="U8" s="18"/>
      <c r="V8" s="24"/>
      <c r="W8" s="22"/>
      <c r="X8" s="18"/>
      <c r="Y8" s="21"/>
      <c r="Z8" s="18"/>
      <c r="AA8" s="18"/>
      <c r="AB8" s="18"/>
      <c r="AC8" s="18"/>
      <c r="AD8" s="18"/>
      <c r="AE8" s="18"/>
      <c r="AF8" s="18"/>
      <c r="AG8" s="24"/>
      <c r="AH8" s="22"/>
      <c r="AI8" s="18"/>
      <c r="AJ8" s="21"/>
      <c r="AK8" s="18"/>
      <c r="AL8" s="18"/>
      <c r="AM8" s="18"/>
      <c r="AN8" s="18"/>
      <c r="AO8" s="18"/>
      <c r="AP8" s="18"/>
      <c r="AQ8" s="18"/>
      <c r="AR8" s="24"/>
      <c r="AS8" s="22"/>
      <c r="AT8" s="18"/>
      <c r="AU8" s="21"/>
      <c r="AV8" s="18"/>
      <c r="AW8" s="18"/>
      <c r="AX8" s="18"/>
      <c r="AY8" s="18"/>
      <c r="AZ8" s="18"/>
      <c r="BA8" s="18"/>
      <c r="BB8" s="18"/>
      <c r="BC8" s="24"/>
      <c r="BD8" s="22"/>
      <c r="BE8" s="18"/>
      <c r="BF8" s="21"/>
      <c r="BG8" s="18"/>
      <c r="BH8" s="18"/>
      <c r="BI8" s="18"/>
      <c r="BJ8" s="18"/>
      <c r="BK8" s="18"/>
      <c r="BL8" s="18"/>
      <c r="BM8" s="18"/>
      <c r="BN8" s="24"/>
      <c r="BO8" s="22"/>
      <c r="BP8" s="18"/>
      <c r="BQ8" s="21"/>
      <c r="BR8" s="18"/>
      <c r="BS8" s="18"/>
      <c r="BT8" s="18"/>
      <c r="BU8" s="18"/>
      <c r="BV8" s="18"/>
      <c r="BW8" s="18"/>
      <c r="BX8" s="18"/>
      <c r="BY8" s="24"/>
      <c r="BZ8" s="22"/>
      <c r="CA8" s="18"/>
      <c r="CB8" s="21"/>
      <c r="CC8" s="18"/>
      <c r="CD8" s="18"/>
      <c r="CE8" s="18"/>
      <c r="CF8" s="18"/>
      <c r="CG8" s="18"/>
      <c r="CH8" s="18"/>
      <c r="CI8" s="18"/>
      <c r="CJ8" s="24"/>
      <c r="CK8" s="22"/>
      <c r="CL8" s="18"/>
      <c r="CM8" s="21"/>
      <c r="CN8" s="18"/>
      <c r="CO8" s="18"/>
      <c r="CP8" s="18"/>
      <c r="CQ8" s="18"/>
      <c r="CR8" s="18"/>
      <c r="CS8" s="18"/>
      <c r="CT8" s="18"/>
      <c r="CU8" s="24"/>
      <c r="CV8" s="22"/>
      <c r="CW8" s="18"/>
      <c r="CX8" s="21"/>
      <c r="CY8" s="18"/>
      <c r="CZ8" s="18"/>
      <c r="DA8" s="18"/>
      <c r="DB8" s="18"/>
      <c r="DC8" s="18"/>
      <c r="DD8" s="18"/>
      <c r="DE8" s="18"/>
      <c r="DF8" s="24"/>
      <c r="DG8" s="22"/>
      <c r="DH8" s="18"/>
      <c r="DI8" s="21"/>
      <c r="DJ8" s="18"/>
      <c r="DK8" s="18"/>
      <c r="DL8" s="18"/>
      <c r="DM8" s="18"/>
      <c r="DN8" s="18"/>
      <c r="DO8" s="18"/>
      <c r="DP8" s="18"/>
      <c r="DQ8" s="24"/>
      <c r="DR8" s="22"/>
      <c r="DS8" s="18"/>
      <c r="DT8" s="21"/>
      <c r="DU8" s="18"/>
      <c r="DV8" s="18"/>
      <c r="DW8" s="18"/>
      <c r="DX8" s="18"/>
      <c r="DY8" s="18"/>
      <c r="DZ8" s="18"/>
      <c r="EA8" s="18"/>
      <c r="EB8" s="24"/>
      <c r="EC8" s="22"/>
      <c r="ED8" s="18"/>
      <c r="EE8" s="21"/>
      <c r="EF8" s="18"/>
      <c r="EG8" s="18"/>
      <c r="EH8" s="18"/>
      <c r="EI8" s="18"/>
      <c r="EJ8" s="18"/>
      <c r="EK8" s="18"/>
      <c r="EL8" s="18"/>
      <c r="EM8" s="24"/>
      <c r="EN8" s="22"/>
      <c r="EO8" s="18"/>
      <c r="EP8" s="21"/>
      <c r="EQ8" s="18"/>
      <c r="ER8" s="18"/>
      <c r="ES8" s="18"/>
      <c r="ET8" s="18"/>
      <c r="EU8" s="18"/>
      <c r="EV8" s="18"/>
      <c r="EW8" s="18"/>
      <c r="EX8" s="24"/>
      <c r="EY8" s="22"/>
      <c r="EZ8" s="18"/>
      <c r="FA8" s="21"/>
      <c r="FB8" s="18"/>
      <c r="FC8" s="18"/>
      <c r="FD8" s="18"/>
      <c r="FE8" s="18"/>
      <c r="FF8" s="18"/>
      <c r="FG8" s="18"/>
      <c r="FH8" s="18"/>
      <c r="FI8" s="24"/>
      <c r="FJ8" s="22"/>
      <c r="FK8" s="18"/>
      <c r="FL8" s="21"/>
      <c r="FM8" s="18"/>
      <c r="FN8" s="18"/>
      <c r="FO8" s="18"/>
      <c r="FP8" s="18"/>
      <c r="FQ8" s="18"/>
      <c r="FR8" s="18"/>
      <c r="FS8" s="18"/>
      <c r="FT8" s="24"/>
      <c r="FU8" s="22"/>
      <c r="FV8" s="18"/>
      <c r="FW8" s="21"/>
      <c r="FX8" s="18"/>
      <c r="FY8" s="18"/>
      <c r="FZ8" s="18"/>
      <c r="GA8" s="18"/>
      <c r="GB8" s="18"/>
      <c r="GC8" s="18"/>
      <c r="GD8" s="18"/>
      <c r="GE8" s="24"/>
      <c r="GF8" s="22"/>
      <c r="GG8" s="18"/>
      <c r="GH8" s="21"/>
      <c r="GI8" s="18"/>
      <c r="GJ8" s="18"/>
      <c r="GK8" s="18"/>
      <c r="GL8" s="18"/>
      <c r="GM8" s="18"/>
      <c r="GN8" s="18"/>
      <c r="GO8" s="18"/>
      <c r="GP8" s="24"/>
      <c r="GQ8" s="22"/>
      <c r="GR8" s="18"/>
      <c r="GS8" s="21"/>
      <c r="GT8" s="18"/>
      <c r="GU8" s="18"/>
      <c r="GV8" s="18"/>
      <c r="GW8" s="18"/>
      <c r="GX8" s="18"/>
      <c r="GY8" s="18"/>
      <c r="GZ8" s="18"/>
      <c r="HA8" s="24"/>
      <c r="HB8" s="22"/>
      <c r="HC8" s="18"/>
      <c r="HD8" s="21"/>
      <c r="HE8" s="18"/>
      <c r="HF8" s="18"/>
      <c r="HG8" s="18"/>
      <c r="HH8" s="18"/>
      <c r="HI8" s="18"/>
      <c r="HJ8" s="18"/>
      <c r="HK8" s="18"/>
      <c r="HL8" s="24"/>
      <c r="HM8" s="22"/>
      <c r="HN8" s="18"/>
      <c r="HO8" s="21"/>
      <c r="HP8" s="18"/>
      <c r="HQ8" s="18"/>
      <c r="HR8" s="18"/>
      <c r="HS8" s="18"/>
      <c r="HT8" s="18"/>
      <c r="HU8" s="18"/>
      <c r="HV8" s="18"/>
      <c r="HW8" s="24"/>
      <c r="HX8" s="22"/>
      <c r="HY8" s="18"/>
      <c r="HZ8" s="21"/>
      <c r="IA8" s="18"/>
      <c r="IB8" s="18"/>
      <c r="IC8" s="18"/>
      <c r="ID8" s="18"/>
      <c r="IE8" s="18"/>
      <c r="IF8" s="18"/>
      <c r="IG8" s="18"/>
      <c r="IH8" s="24"/>
      <c r="II8" s="22"/>
      <c r="IJ8" s="18"/>
      <c r="IK8" s="21"/>
      <c r="IL8" s="18"/>
      <c r="IM8" s="23"/>
      <c r="IN8" s="23"/>
      <c r="IO8" s="23"/>
      <c r="IP8" s="23"/>
      <c r="IQ8" s="23"/>
      <c r="IR8" s="23"/>
      <c r="IS8" s="23"/>
      <c r="IT8" s="23"/>
      <c r="IU8" s="23"/>
    </row>
    <row r="9" spans="1:255" s="12" customFormat="1" ht="15" customHeight="1" x14ac:dyDescent="0.2">
      <c r="A9" s="26" t="s">
        <v>257</v>
      </c>
      <c r="B9" s="355">
        <v>44377</v>
      </c>
      <c r="C9" s="356" t="s">
        <v>9</v>
      </c>
      <c r="D9" s="912" t="s">
        <v>465</v>
      </c>
      <c r="E9" s="975"/>
      <c r="F9" s="975">
        <v>5.34</v>
      </c>
      <c r="G9" s="975"/>
      <c r="H9" s="975"/>
      <c r="I9" s="975"/>
      <c r="J9" s="975"/>
      <c r="K9" s="975"/>
      <c r="L9" s="975"/>
      <c r="M9" s="358">
        <f t="shared" si="0"/>
        <v>5.34</v>
      </c>
      <c r="N9" s="1009"/>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row>
    <row r="10" spans="1:255" s="14" customFormat="1" ht="15" customHeight="1" x14ac:dyDescent="0.2">
      <c r="A10" s="26" t="s">
        <v>260</v>
      </c>
      <c r="B10" s="45">
        <v>44407</v>
      </c>
      <c r="C10" s="46" t="s">
        <v>9</v>
      </c>
      <c r="D10" s="47" t="s">
        <v>465</v>
      </c>
      <c r="E10" s="353"/>
      <c r="F10" s="353">
        <v>12.74</v>
      </c>
      <c r="G10" s="354"/>
      <c r="H10" s="354"/>
      <c r="I10" s="353"/>
      <c r="J10" s="353"/>
      <c r="K10" s="353"/>
      <c r="L10" s="353"/>
      <c r="M10" s="39">
        <f t="shared" si="0"/>
        <v>12.74</v>
      </c>
      <c r="N10" s="1013"/>
      <c r="O10" s="15"/>
      <c r="P10" s="15"/>
      <c r="Q10" s="15"/>
      <c r="R10" s="15"/>
      <c r="S10" s="15"/>
      <c r="T10" s="15"/>
      <c r="U10" s="15"/>
      <c r="V10" s="13"/>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row>
    <row r="11" spans="1:255" s="11" customFormat="1" ht="15" customHeight="1" x14ac:dyDescent="0.2">
      <c r="A11" s="26" t="s">
        <v>261</v>
      </c>
      <c r="B11" s="355">
        <v>44439</v>
      </c>
      <c r="C11" s="356" t="s">
        <v>9</v>
      </c>
      <c r="D11" s="357" t="s">
        <v>465</v>
      </c>
      <c r="E11" s="975"/>
      <c r="F11" s="975">
        <v>12.75</v>
      </c>
      <c r="G11" s="975"/>
      <c r="H11" s="975"/>
      <c r="I11" s="975"/>
      <c r="J11" s="975"/>
      <c r="K11" s="975"/>
      <c r="L11" s="975"/>
      <c r="M11" s="358">
        <f t="shared" si="0"/>
        <v>12.75</v>
      </c>
      <c r="N11" s="1009"/>
    </row>
    <row r="12" spans="1:255" s="11" customFormat="1" ht="15" customHeight="1" x14ac:dyDescent="0.2">
      <c r="A12" s="26" t="s">
        <v>262</v>
      </c>
      <c r="B12" s="45">
        <v>44469</v>
      </c>
      <c r="C12" s="926" t="s">
        <v>9</v>
      </c>
      <c r="D12" s="47" t="s">
        <v>465</v>
      </c>
      <c r="E12" s="916"/>
      <c r="F12" s="916">
        <v>12.33</v>
      </c>
      <c r="G12" s="916"/>
      <c r="H12" s="916"/>
      <c r="I12" s="916"/>
      <c r="J12" s="916"/>
      <c r="K12" s="916"/>
      <c r="L12" s="916"/>
      <c r="M12" s="619">
        <f t="shared" si="0"/>
        <v>12.33</v>
      </c>
      <c r="N12" s="1013"/>
    </row>
    <row r="13" spans="1:255" s="12" customFormat="1" ht="15" customHeight="1" x14ac:dyDescent="0.2">
      <c r="A13" s="927" t="s">
        <v>254</v>
      </c>
      <c r="B13" s="355">
        <v>44470</v>
      </c>
      <c r="C13" s="359" t="s">
        <v>481</v>
      </c>
      <c r="D13" s="357" t="s">
        <v>357</v>
      </c>
      <c r="E13" s="975"/>
      <c r="F13" s="975"/>
      <c r="G13" s="361"/>
      <c r="H13" s="361"/>
      <c r="I13" s="975"/>
      <c r="J13" s="975"/>
      <c r="K13" s="975">
        <v>9000</v>
      </c>
      <c r="L13" s="975"/>
      <c r="M13" s="358">
        <f t="shared" si="0"/>
        <v>9000</v>
      </c>
      <c r="N13" s="1009"/>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row>
    <row r="14" spans="1:255" s="11" customFormat="1" ht="15" customHeight="1" x14ac:dyDescent="0.2">
      <c r="A14" s="26" t="s">
        <v>263</v>
      </c>
      <c r="B14" s="45">
        <v>44498</v>
      </c>
      <c r="C14" s="917" t="s">
        <v>9</v>
      </c>
      <c r="D14" s="47" t="s">
        <v>465</v>
      </c>
      <c r="E14" s="916"/>
      <c r="F14" s="916">
        <v>12.75</v>
      </c>
      <c r="G14" s="916"/>
      <c r="H14" s="916"/>
      <c r="I14" s="916"/>
      <c r="J14" s="916"/>
      <c r="K14" s="916"/>
      <c r="L14" s="916"/>
      <c r="M14" s="619">
        <f t="shared" si="0"/>
        <v>12.75</v>
      </c>
      <c r="N14" s="1013"/>
    </row>
    <row r="15" spans="1:255" s="12" customFormat="1" ht="15" customHeight="1" x14ac:dyDescent="0.2">
      <c r="A15" s="26" t="s">
        <v>253</v>
      </c>
      <c r="B15" s="355">
        <v>44510</v>
      </c>
      <c r="C15" s="359" t="s">
        <v>482</v>
      </c>
      <c r="D15" s="357" t="s">
        <v>357</v>
      </c>
      <c r="E15" s="975"/>
      <c r="F15" s="975"/>
      <c r="G15" s="975"/>
      <c r="H15" s="975"/>
      <c r="I15" s="975"/>
      <c r="J15" s="975"/>
      <c r="K15" s="975"/>
      <c r="L15" s="975">
        <v>10620.04</v>
      </c>
      <c r="M15" s="358">
        <f t="shared" si="0"/>
        <v>10620.04</v>
      </c>
      <c r="N15" s="1009"/>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row>
    <row r="16" spans="1:255" s="11" customFormat="1" ht="15" customHeight="1" x14ac:dyDescent="0.2">
      <c r="A16" s="26" t="s">
        <v>256</v>
      </c>
      <c r="B16" s="45">
        <v>44530</v>
      </c>
      <c r="C16" s="368" t="s">
        <v>9</v>
      </c>
      <c r="D16" s="47" t="s">
        <v>465</v>
      </c>
      <c r="E16" s="607"/>
      <c r="F16" s="607">
        <v>12.35</v>
      </c>
      <c r="G16" s="607"/>
      <c r="H16" s="607"/>
      <c r="I16" s="607"/>
      <c r="J16" s="607"/>
      <c r="K16" s="607"/>
      <c r="L16" s="607"/>
      <c r="M16" s="619">
        <f t="shared" si="0"/>
        <v>12.35</v>
      </c>
      <c r="N16" s="1013"/>
    </row>
    <row r="17" spans="1:255" s="11" customFormat="1" ht="15" customHeight="1" x14ac:dyDescent="0.2">
      <c r="A17" s="26" t="s">
        <v>264</v>
      </c>
      <c r="B17" s="355">
        <v>44531</v>
      </c>
      <c r="C17" s="359" t="s">
        <v>459</v>
      </c>
      <c r="D17" s="357" t="s">
        <v>356</v>
      </c>
      <c r="E17" s="975"/>
      <c r="F17" s="975"/>
      <c r="G17" s="975">
        <v>32</v>
      </c>
      <c r="H17" s="975"/>
      <c r="I17" s="975"/>
      <c r="J17" s="975"/>
      <c r="K17" s="975"/>
      <c r="L17" s="618"/>
      <c r="M17" s="358">
        <f t="shared" si="0"/>
        <v>32</v>
      </c>
      <c r="N17" s="1009" t="s">
        <v>486</v>
      </c>
      <c r="O17" s="13"/>
      <c r="P17" s="13"/>
      <c r="Q17" s="13"/>
      <c r="R17" s="13"/>
      <c r="S17" s="13"/>
      <c r="T17" s="13"/>
      <c r="U17" s="13"/>
      <c r="V17" s="13"/>
    </row>
    <row r="18" spans="1:255" s="11" customFormat="1" ht="15" customHeight="1" x14ac:dyDescent="0.2">
      <c r="A18" s="26" t="s">
        <v>265</v>
      </c>
      <c r="B18" s="45">
        <v>44533</v>
      </c>
      <c r="C18" s="46" t="s">
        <v>459</v>
      </c>
      <c r="D18" s="47" t="s">
        <v>356</v>
      </c>
      <c r="E18" s="607"/>
      <c r="F18" s="607"/>
      <c r="G18" s="607">
        <v>52</v>
      </c>
      <c r="H18" s="607"/>
      <c r="I18" s="607"/>
      <c r="J18" s="607"/>
      <c r="K18" s="607"/>
      <c r="L18" s="48"/>
      <c r="M18" s="619">
        <f t="shared" si="0"/>
        <v>52</v>
      </c>
      <c r="N18" s="1013" t="s">
        <v>485</v>
      </c>
      <c r="O18" s="13"/>
      <c r="P18" s="13"/>
      <c r="Q18" s="13"/>
      <c r="R18" s="13"/>
      <c r="S18" s="13"/>
      <c r="T18" s="13"/>
      <c r="U18" s="13"/>
    </row>
    <row r="19" spans="1:255" s="11" customFormat="1" ht="14.25" customHeight="1" x14ac:dyDescent="0.2">
      <c r="A19" s="26" t="s">
        <v>266</v>
      </c>
      <c r="B19" s="355">
        <v>44536</v>
      </c>
      <c r="C19" s="360" t="s">
        <v>459</v>
      </c>
      <c r="D19" s="357" t="s">
        <v>356</v>
      </c>
      <c r="E19" s="975"/>
      <c r="F19" s="975"/>
      <c r="G19" s="975">
        <v>24</v>
      </c>
      <c r="H19" s="975"/>
      <c r="I19" s="975"/>
      <c r="J19" s="975"/>
      <c r="K19" s="975"/>
      <c r="L19" s="975"/>
      <c r="M19" s="358">
        <f t="shared" si="0"/>
        <v>24</v>
      </c>
      <c r="N19" s="1009" t="s">
        <v>487</v>
      </c>
      <c r="O19" s="13"/>
      <c r="P19" s="13"/>
      <c r="Q19" s="13"/>
      <c r="R19" s="13"/>
      <c r="S19" s="13"/>
      <c r="T19" s="13"/>
      <c r="U19" s="13"/>
      <c r="V19" s="13"/>
    </row>
    <row r="20" spans="1:255" s="11" customFormat="1" ht="15" customHeight="1" x14ac:dyDescent="0.2">
      <c r="A20" s="26" t="s">
        <v>255</v>
      </c>
      <c r="B20" s="45">
        <v>44546</v>
      </c>
      <c r="C20" s="46" t="s">
        <v>459</v>
      </c>
      <c r="D20" s="47" t="s">
        <v>356</v>
      </c>
      <c r="E20" s="353"/>
      <c r="F20" s="353"/>
      <c r="G20" s="353">
        <v>20</v>
      </c>
      <c r="H20" s="353"/>
      <c r="I20" s="353"/>
      <c r="J20" s="353"/>
      <c r="K20" s="353"/>
      <c r="L20" s="48"/>
      <c r="M20" s="39">
        <f t="shared" si="0"/>
        <v>20</v>
      </c>
      <c r="N20" s="1013" t="s">
        <v>488</v>
      </c>
      <c r="O20" s="13"/>
      <c r="P20" s="13"/>
      <c r="Q20" s="13"/>
      <c r="R20" s="13"/>
      <c r="S20" s="13"/>
      <c r="T20" s="13"/>
      <c r="U20" s="13"/>
      <c r="V20" s="13"/>
    </row>
    <row r="21" spans="1:255" s="11" customFormat="1" ht="15" customHeight="1" x14ac:dyDescent="0.2">
      <c r="A21" s="26" t="s">
        <v>267</v>
      </c>
      <c r="B21" s="355">
        <v>44926</v>
      </c>
      <c r="C21" s="360" t="s">
        <v>9</v>
      </c>
      <c r="D21" s="357" t="s">
        <v>356</v>
      </c>
      <c r="E21" s="975"/>
      <c r="F21" s="975">
        <v>4.28</v>
      </c>
      <c r="G21" s="975"/>
      <c r="H21" s="975"/>
      <c r="I21" s="975"/>
      <c r="J21" s="975"/>
      <c r="K21" s="975"/>
      <c r="L21" s="975"/>
      <c r="M21" s="358">
        <f t="shared" si="0"/>
        <v>4.28</v>
      </c>
      <c r="N21" s="1009"/>
      <c r="O21" s="13"/>
      <c r="P21" s="13"/>
      <c r="Q21" s="13"/>
      <c r="R21" s="13"/>
      <c r="S21" s="13"/>
      <c r="T21" s="13"/>
      <c r="U21" s="13"/>
      <c r="V21" s="13"/>
    </row>
    <row r="22" spans="1:255" s="11" customFormat="1" ht="15" customHeight="1" x14ac:dyDescent="0.2">
      <c r="A22" s="26" t="s">
        <v>257</v>
      </c>
      <c r="B22" s="45">
        <v>44926</v>
      </c>
      <c r="C22" s="93" t="s">
        <v>9</v>
      </c>
      <c r="D22" s="94" t="s">
        <v>465</v>
      </c>
      <c r="E22" s="31"/>
      <c r="F22" s="31">
        <v>12.75</v>
      </c>
      <c r="G22" s="31"/>
      <c r="H22" s="31"/>
      <c r="I22" s="31"/>
      <c r="J22" s="31"/>
      <c r="K22" s="31"/>
      <c r="L22" s="48"/>
      <c r="M22" s="39">
        <f t="shared" si="0"/>
        <v>12.75</v>
      </c>
      <c r="N22" s="1013"/>
      <c r="O22" s="13"/>
      <c r="P22" s="13"/>
      <c r="Q22" s="13"/>
      <c r="R22" s="13"/>
      <c r="S22" s="13"/>
      <c r="T22" s="13"/>
      <c r="U22" s="13"/>
      <c r="V22" s="13"/>
    </row>
    <row r="23" spans="1:255" s="12" customFormat="1" ht="15" customHeight="1" x14ac:dyDescent="0.2">
      <c r="A23" s="26" t="s">
        <v>268</v>
      </c>
      <c r="B23" s="355">
        <v>44571</v>
      </c>
      <c r="C23" s="356" t="s">
        <v>459</v>
      </c>
      <c r="D23" s="357" t="s">
        <v>356</v>
      </c>
      <c r="E23" s="975"/>
      <c r="F23" s="975"/>
      <c r="G23" s="975">
        <v>24</v>
      </c>
      <c r="H23" s="975"/>
      <c r="I23" s="975"/>
      <c r="J23" s="975"/>
      <c r="K23" s="975"/>
      <c r="L23" s="975"/>
      <c r="M23" s="358">
        <f>SUM(E23:L23)</f>
        <v>24</v>
      </c>
      <c r="N23" s="1009"/>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row>
    <row r="24" spans="1:255" s="11" customFormat="1" ht="15" customHeight="1" x14ac:dyDescent="0.2">
      <c r="A24" s="26" t="s">
        <v>269</v>
      </c>
      <c r="B24" s="45">
        <v>44579</v>
      </c>
      <c r="C24" s="368" t="s">
        <v>459</v>
      </c>
      <c r="D24" s="47" t="s">
        <v>356</v>
      </c>
      <c r="E24" s="366"/>
      <c r="F24" s="366"/>
      <c r="G24" s="366">
        <v>40</v>
      </c>
      <c r="H24" s="366"/>
      <c r="I24" s="366"/>
      <c r="J24" s="366"/>
      <c r="K24" s="366"/>
      <c r="L24" s="366"/>
      <c r="M24" s="39">
        <f t="shared" si="0"/>
        <v>40</v>
      </c>
      <c r="N24" s="1013"/>
      <c r="O24" s="13"/>
      <c r="P24" s="13"/>
      <c r="Q24" s="13"/>
      <c r="R24" s="13"/>
      <c r="S24" s="13"/>
      <c r="T24" s="13"/>
      <c r="U24" s="13"/>
      <c r="V24" s="13"/>
    </row>
    <row r="25" spans="1:255" s="11" customFormat="1" ht="15" customHeight="1" x14ac:dyDescent="0.2">
      <c r="A25" s="26" t="s">
        <v>270</v>
      </c>
      <c r="B25" s="355">
        <v>44579</v>
      </c>
      <c r="C25" s="360" t="s">
        <v>459</v>
      </c>
      <c r="D25" s="357" t="s">
        <v>356</v>
      </c>
      <c r="E25" s="975"/>
      <c r="F25" s="975"/>
      <c r="G25" s="975">
        <v>12</v>
      </c>
      <c r="H25" s="975"/>
      <c r="I25" s="975"/>
      <c r="J25" s="975"/>
      <c r="K25" s="975"/>
      <c r="L25" s="975"/>
      <c r="M25" s="358">
        <f t="shared" si="0"/>
        <v>12</v>
      </c>
      <c r="N25" s="1009"/>
      <c r="O25" s="13"/>
      <c r="P25" s="13"/>
      <c r="Q25" s="13"/>
      <c r="R25" s="13"/>
      <c r="S25" s="13"/>
      <c r="T25" s="13"/>
      <c r="U25" s="13"/>
      <c r="V25" s="13"/>
    </row>
    <row r="26" spans="1:255" s="11" customFormat="1" ht="15" customHeight="1" x14ac:dyDescent="0.2">
      <c r="A26" s="26" t="s">
        <v>271</v>
      </c>
      <c r="B26" s="45">
        <v>44592</v>
      </c>
      <c r="C26" s="93" t="s">
        <v>9</v>
      </c>
      <c r="D26" s="94" t="s">
        <v>465</v>
      </c>
      <c r="E26" s="31"/>
      <c r="F26" s="170">
        <v>12.76</v>
      </c>
      <c r="G26" s="170"/>
      <c r="H26" s="180"/>
      <c r="I26" s="170"/>
      <c r="J26" s="170"/>
      <c r="K26" s="31"/>
      <c r="L26" s="48"/>
      <c r="M26" s="39">
        <f t="shared" si="0"/>
        <v>12.76</v>
      </c>
      <c r="N26" s="1013"/>
      <c r="O26" s="181"/>
      <c r="P26"/>
      <c r="Q26" s="143"/>
      <c r="R26" s="13"/>
      <c r="S26" s="13"/>
      <c r="T26" s="13"/>
      <c r="U26" s="13"/>
      <c r="V26" s="13"/>
    </row>
    <row r="27" spans="1:255" s="11" customFormat="1" ht="15" customHeight="1" x14ac:dyDescent="0.2">
      <c r="A27" s="26" t="s">
        <v>272</v>
      </c>
      <c r="B27" s="355">
        <v>44603</v>
      </c>
      <c r="C27" s="360" t="s">
        <v>516</v>
      </c>
      <c r="D27" s="357" t="s">
        <v>357</v>
      </c>
      <c r="E27" s="975"/>
      <c r="F27" s="975"/>
      <c r="G27" s="975"/>
      <c r="H27" s="975"/>
      <c r="I27" s="975"/>
      <c r="J27" s="975"/>
      <c r="K27" s="975">
        <v>2250</v>
      </c>
      <c r="L27" s="975"/>
      <c r="M27" s="358">
        <f t="shared" si="0"/>
        <v>2250</v>
      </c>
      <c r="N27" s="1009"/>
      <c r="O27" s="181"/>
      <c r="P27"/>
      <c r="Q27" s="143"/>
      <c r="R27" s="13"/>
      <c r="S27" s="13"/>
      <c r="T27" s="13"/>
      <c r="U27" s="13"/>
      <c r="V27" s="13"/>
    </row>
    <row r="28" spans="1:255" s="11" customFormat="1" ht="15" customHeight="1" x14ac:dyDescent="0.2">
      <c r="A28" s="26" t="s">
        <v>273</v>
      </c>
      <c r="B28" s="45">
        <v>44616</v>
      </c>
      <c r="C28" s="93" t="s">
        <v>517</v>
      </c>
      <c r="D28" s="94"/>
      <c r="E28" s="31"/>
      <c r="F28" s="180"/>
      <c r="G28" s="180"/>
      <c r="H28" s="180"/>
      <c r="I28" s="180"/>
      <c r="J28" s="180">
        <v>3.45</v>
      </c>
      <c r="K28" s="31"/>
      <c r="L28" s="48"/>
      <c r="M28" s="39">
        <f t="shared" si="0"/>
        <v>3.45</v>
      </c>
      <c r="N28" s="1013"/>
      <c r="O28" s="181"/>
      <c r="P28"/>
      <c r="Q28" s="143"/>
      <c r="R28" s="13"/>
      <c r="S28" s="13"/>
      <c r="T28" s="13"/>
      <c r="U28" s="13"/>
      <c r="V28" s="13"/>
    </row>
    <row r="29" spans="1:255" s="11" customFormat="1" ht="15" customHeight="1" x14ac:dyDescent="0.2">
      <c r="A29" s="26" t="s">
        <v>274</v>
      </c>
      <c r="B29" s="355">
        <v>44620</v>
      </c>
      <c r="C29" s="360" t="s">
        <v>9</v>
      </c>
      <c r="D29" s="357" t="s">
        <v>465</v>
      </c>
      <c r="E29" s="975"/>
      <c r="F29" s="975">
        <v>17.3</v>
      </c>
      <c r="G29" s="975"/>
      <c r="H29" s="975"/>
      <c r="I29" s="975"/>
      <c r="J29" s="975"/>
      <c r="K29" s="975"/>
      <c r="L29" s="975"/>
      <c r="M29" s="358">
        <f t="shared" si="0"/>
        <v>17.3</v>
      </c>
      <c r="N29" s="1009"/>
      <c r="O29" s="181"/>
      <c r="P29"/>
      <c r="Q29" s="143"/>
      <c r="R29" s="13"/>
      <c r="S29" s="13"/>
      <c r="T29" s="13"/>
      <c r="U29" s="13"/>
      <c r="V29" s="13"/>
    </row>
    <row r="30" spans="1:255" s="11" customFormat="1" ht="15" customHeight="1" x14ac:dyDescent="0.2">
      <c r="B30" s="45">
        <v>44643</v>
      </c>
      <c r="C30" s="93" t="s">
        <v>535</v>
      </c>
      <c r="D30" s="94"/>
      <c r="E30" s="31"/>
      <c r="F30" s="180"/>
      <c r="G30" s="180"/>
      <c r="H30" s="180"/>
      <c r="I30" s="180"/>
      <c r="K30" s="31">
        <v>260.12</v>
      </c>
      <c r="L30" s="48"/>
      <c r="M30" s="39">
        <f t="shared" si="0"/>
        <v>260.12</v>
      </c>
      <c r="N30" s="1013"/>
      <c r="O30" s="181"/>
      <c r="P30"/>
      <c r="Q30" s="143"/>
      <c r="R30" s="13"/>
      <c r="S30" s="13"/>
      <c r="T30" s="13"/>
      <c r="U30" s="13"/>
      <c r="V30" s="13"/>
    </row>
    <row r="31" spans="1:255" s="11" customFormat="1" ht="15" customHeight="1" x14ac:dyDescent="0.2">
      <c r="B31" s="355">
        <v>44650</v>
      </c>
      <c r="C31" s="360" t="s">
        <v>459</v>
      </c>
      <c r="D31" s="357" t="s">
        <v>356</v>
      </c>
      <c r="E31" s="975"/>
      <c r="F31" s="975"/>
      <c r="G31" s="975">
        <v>12</v>
      </c>
      <c r="H31" s="975"/>
      <c r="I31" s="975"/>
      <c r="J31" s="975"/>
      <c r="K31" s="975"/>
      <c r="L31" s="975"/>
      <c r="M31" s="358">
        <f t="shared" si="0"/>
        <v>12</v>
      </c>
      <c r="N31" s="1009" t="s">
        <v>585</v>
      </c>
      <c r="O31" s="181"/>
      <c r="P31"/>
      <c r="Q31" s="143"/>
      <c r="R31" s="13"/>
      <c r="S31" s="13"/>
      <c r="T31" s="13"/>
      <c r="U31" s="13"/>
      <c r="V31" s="13"/>
    </row>
    <row r="32" spans="1:255" s="11" customFormat="1" ht="15" customHeight="1" x14ac:dyDescent="0.2">
      <c r="B32" s="45">
        <v>44651</v>
      </c>
      <c r="C32" s="93" t="s">
        <v>9</v>
      </c>
      <c r="D32" s="94" t="s">
        <v>356</v>
      </c>
      <c r="E32" s="31"/>
      <c r="F32" s="180">
        <v>34.58</v>
      </c>
      <c r="G32" s="180"/>
      <c r="H32" s="180"/>
      <c r="I32" s="180"/>
      <c r="J32" s="180"/>
      <c r="K32" s="31"/>
      <c r="L32" s="31"/>
      <c r="M32" s="39">
        <f t="shared" si="0"/>
        <v>34.58</v>
      </c>
      <c r="N32" s="610"/>
      <c r="O32" s="181"/>
      <c r="P32"/>
      <c r="Q32" s="143"/>
      <c r="R32" s="13"/>
      <c r="S32" s="13"/>
      <c r="T32" s="13"/>
      <c r="U32" s="13"/>
      <c r="V32" s="13"/>
    </row>
    <row r="33" spans="2:22" s="11" customFormat="1" ht="15" customHeight="1" x14ac:dyDescent="0.2">
      <c r="B33" s="355">
        <v>44651</v>
      </c>
      <c r="C33" s="359" t="s">
        <v>9</v>
      </c>
      <c r="D33" s="357" t="s">
        <v>465</v>
      </c>
      <c r="E33" s="975"/>
      <c r="F33" s="975">
        <v>19.149999999999999</v>
      </c>
      <c r="G33" s="975"/>
      <c r="H33" s="975"/>
      <c r="I33" s="975"/>
      <c r="J33" s="975"/>
      <c r="K33" s="975"/>
      <c r="L33" s="975"/>
      <c r="M33" s="358">
        <f t="shared" si="0"/>
        <v>19.149999999999999</v>
      </c>
      <c r="N33" s="609"/>
      <c r="O33" s="181"/>
      <c r="P33" s="2"/>
      <c r="Q33" s="143"/>
      <c r="R33" s="13"/>
      <c r="S33" s="13"/>
      <c r="T33" s="13"/>
      <c r="U33" s="13"/>
      <c r="V33" s="13"/>
    </row>
    <row r="34" spans="2:22" s="11" customFormat="1" ht="15" hidden="1" customHeight="1" x14ac:dyDescent="0.2">
      <c r="B34" s="45"/>
      <c r="C34" s="93"/>
      <c r="D34" s="94"/>
      <c r="E34" s="170"/>
      <c r="F34" s="180"/>
      <c r="G34" s="180"/>
      <c r="H34" s="180"/>
      <c r="I34" s="180"/>
      <c r="J34" s="180"/>
      <c r="K34" s="170"/>
      <c r="L34" s="170"/>
      <c r="M34" s="39">
        <f t="shared" si="0"/>
        <v>0</v>
      </c>
      <c r="N34" s="610"/>
      <c r="O34" s="181"/>
      <c r="P34"/>
      <c r="Q34" s="143"/>
      <c r="R34" s="13"/>
      <c r="S34" s="13"/>
      <c r="T34" s="13"/>
      <c r="U34" s="13"/>
      <c r="V34" s="13"/>
    </row>
    <row r="35" spans="2:22" s="11" customFormat="1" ht="15" hidden="1" customHeight="1" x14ac:dyDescent="0.2">
      <c r="B35" s="355"/>
      <c r="C35" s="359"/>
      <c r="D35" s="357"/>
      <c r="E35" s="975"/>
      <c r="F35" s="975"/>
      <c r="G35" s="975"/>
      <c r="H35" s="975"/>
      <c r="I35" s="975"/>
      <c r="J35" s="975"/>
      <c r="K35" s="975"/>
      <c r="L35" s="975"/>
      <c r="M35" s="358">
        <f t="shared" si="0"/>
        <v>0</v>
      </c>
      <c r="N35" s="609"/>
      <c r="O35" s="181"/>
      <c r="P35"/>
      <c r="Q35" s="143"/>
      <c r="R35" s="13"/>
      <c r="S35" s="13"/>
      <c r="T35" s="13"/>
      <c r="U35" s="13"/>
      <c r="V35" s="13"/>
    </row>
    <row r="36" spans="2:22" s="11" customFormat="1" ht="15" hidden="1" customHeight="1" x14ac:dyDescent="0.2">
      <c r="B36" s="45"/>
      <c r="C36" s="93"/>
      <c r="D36" s="94"/>
      <c r="E36" s="170"/>
      <c r="F36" s="180"/>
      <c r="G36" s="180"/>
      <c r="H36" s="180"/>
      <c r="I36" s="180"/>
      <c r="J36" s="180"/>
      <c r="K36" s="170"/>
      <c r="L36" s="170"/>
      <c r="M36" s="39">
        <f t="shared" si="0"/>
        <v>0</v>
      </c>
      <c r="N36" s="610"/>
      <c r="O36" s="181"/>
      <c r="P36"/>
      <c r="Q36" s="147"/>
      <c r="R36" s="13"/>
      <c r="S36" s="13"/>
      <c r="T36" s="13"/>
      <c r="U36" s="13"/>
      <c r="V36" s="13"/>
    </row>
    <row r="37" spans="2:22" s="11" customFormat="1" ht="15" hidden="1" customHeight="1" x14ac:dyDescent="0.2">
      <c r="B37" s="355"/>
      <c r="C37" s="359"/>
      <c r="D37" s="357"/>
      <c r="E37" s="975"/>
      <c r="F37" s="975"/>
      <c r="G37" s="975"/>
      <c r="H37" s="975"/>
      <c r="I37" s="975"/>
      <c r="J37" s="975"/>
      <c r="K37" s="975"/>
      <c r="L37" s="975"/>
      <c r="M37" s="358">
        <f t="shared" si="0"/>
        <v>0</v>
      </c>
      <c r="N37" s="609"/>
      <c r="O37" s="181"/>
      <c r="P37"/>
      <c r="Q37" s="143"/>
      <c r="R37" s="13"/>
      <c r="S37" s="13"/>
      <c r="T37" s="13"/>
      <c r="U37" s="13"/>
      <c r="V37" s="13"/>
    </row>
    <row r="38" spans="2:22" s="11" customFormat="1" ht="15" hidden="1" customHeight="1" x14ac:dyDescent="0.2">
      <c r="B38" s="45"/>
      <c r="C38" s="93"/>
      <c r="D38" s="94"/>
      <c r="E38" s="170"/>
      <c r="F38" s="180"/>
      <c r="G38" s="180"/>
      <c r="H38" s="180"/>
      <c r="I38" s="180"/>
      <c r="J38" s="180"/>
      <c r="K38" s="170"/>
      <c r="L38" s="170"/>
      <c r="M38" s="39">
        <f t="shared" si="0"/>
        <v>0</v>
      </c>
      <c r="N38" s="610"/>
      <c r="O38" s="181"/>
      <c r="P38"/>
      <c r="Q38" s="147"/>
      <c r="R38" s="13"/>
      <c r="S38" s="13"/>
      <c r="T38" s="13"/>
      <c r="U38" s="13"/>
      <c r="V38" s="13"/>
    </row>
    <row r="39" spans="2:22" s="11" customFormat="1" ht="15" hidden="1" customHeight="1" x14ac:dyDescent="0.2">
      <c r="B39" s="40"/>
      <c r="C39" s="41"/>
      <c r="D39" s="42"/>
      <c r="E39" s="34"/>
      <c r="F39" s="34"/>
      <c r="G39" s="34"/>
      <c r="H39" s="34"/>
      <c r="I39" s="34"/>
      <c r="J39" s="34"/>
      <c r="K39" s="34"/>
      <c r="L39" s="34"/>
      <c r="M39" s="43">
        <f t="shared" si="0"/>
        <v>0</v>
      </c>
      <c r="N39" s="611"/>
      <c r="O39" s="8"/>
      <c r="P39" s="8"/>
      <c r="Q39" s="8"/>
      <c r="R39" s="13"/>
      <c r="S39" s="13"/>
      <c r="T39" s="13"/>
      <c r="U39" s="13"/>
      <c r="V39" s="13"/>
    </row>
    <row r="40" spans="2:22" s="11" customFormat="1" ht="15" hidden="1" customHeight="1" x14ac:dyDescent="0.2">
      <c r="B40" s="45"/>
      <c r="C40" s="93"/>
      <c r="D40" s="94"/>
      <c r="E40" s="170"/>
      <c r="F40" s="180"/>
      <c r="G40" s="180"/>
      <c r="H40" s="180"/>
      <c r="I40" s="180"/>
      <c r="J40" s="180"/>
      <c r="K40" s="170"/>
      <c r="L40" s="170"/>
      <c r="M40" s="39">
        <f t="shared" si="0"/>
        <v>0</v>
      </c>
      <c r="N40" s="610"/>
      <c r="O40" s="8"/>
      <c r="P40" s="8"/>
      <c r="Q40" s="8"/>
      <c r="R40" s="13"/>
      <c r="S40" s="13"/>
      <c r="T40" s="13"/>
      <c r="U40" s="13"/>
      <c r="V40" s="13"/>
    </row>
    <row r="41" spans="2:22" s="11" customFormat="1" ht="15" hidden="1" customHeight="1" x14ac:dyDescent="0.2">
      <c r="B41" s="40"/>
      <c r="C41" s="41"/>
      <c r="D41" s="42"/>
      <c r="E41" s="34"/>
      <c r="F41" s="34"/>
      <c r="G41" s="34"/>
      <c r="H41" s="34"/>
      <c r="I41" s="34"/>
      <c r="J41" s="34"/>
      <c r="K41" s="34"/>
      <c r="L41" s="34"/>
      <c r="M41" s="43">
        <f t="shared" si="0"/>
        <v>0</v>
      </c>
      <c r="N41" s="611"/>
      <c r="O41" s="8"/>
      <c r="P41" s="8"/>
      <c r="Q41" s="8"/>
      <c r="R41" s="13"/>
      <c r="S41" s="13"/>
      <c r="T41" s="13"/>
      <c r="U41" s="13"/>
      <c r="V41" s="13"/>
    </row>
    <row r="42" spans="2:22" s="11" customFormat="1" ht="15" hidden="1" customHeight="1" x14ac:dyDescent="0.2">
      <c r="B42" s="45"/>
      <c r="C42" s="93"/>
      <c r="D42" s="94"/>
      <c r="E42" s="182"/>
      <c r="F42" s="182"/>
      <c r="G42" s="182"/>
      <c r="H42" s="182"/>
      <c r="I42" s="182"/>
      <c r="J42" s="182"/>
      <c r="K42" s="182"/>
      <c r="L42" s="182"/>
      <c r="M42" s="39">
        <f t="shared" si="0"/>
        <v>0</v>
      </c>
      <c r="N42" s="610"/>
      <c r="O42" s="8"/>
      <c r="P42" s="8"/>
      <c r="Q42" s="8"/>
      <c r="R42" s="13"/>
      <c r="S42" s="13"/>
      <c r="T42" s="13"/>
      <c r="U42" s="13"/>
      <c r="V42" s="13"/>
    </row>
    <row r="43" spans="2:22" s="11" customFormat="1" ht="15" hidden="1" customHeight="1" x14ac:dyDescent="0.2">
      <c r="B43" s="40"/>
      <c r="C43" s="41"/>
      <c r="D43" s="42"/>
      <c r="E43" s="34"/>
      <c r="F43" s="34"/>
      <c r="G43" s="34"/>
      <c r="H43" s="34"/>
      <c r="I43" s="34"/>
      <c r="J43" s="34"/>
      <c r="K43" s="34"/>
      <c r="L43" s="34"/>
      <c r="M43" s="43">
        <f t="shared" si="0"/>
        <v>0</v>
      </c>
      <c r="N43" s="611"/>
      <c r="O43" s="8"/>
      <c r="P43" s="8"/>
      <c r="Q43" s="8"/>
      <c r="R43" s="13"/>
      <c r="S43" s="13"/>
      <c r="T43" s="13"/>
      <c r="U43" s="13"/>
      <c r="V43" s="13"/>
    </row>
    <row r="44" spans="2:22" s="11" customFormat="1" ht="15" hidden="1" customHeight="1" x14ac:dyDescent="0.2">
      <c r="B44" s="45"/>
      <c r="C44" s="93"/>
      <c r="D44" s="94"/>
      <c r="E44" s="182"/>
      <c r="F44" s="182"/>
      <c r="G44" s="182"/>
      <c r="H44" s="182"/>
      <c r="I44" s="182"/>
      <c r="J44" s="182"/>
      <c r="K44" s="182"/>
      <c r="L44" s="182"/>
      <c r="M44" s="39">
        <f t="shared" si="0"/>
        <v>0</v>
      </c>
      <c r="N44" s="610"/>
      <c r="O44" s="8"/>
      <c r="P44" s="8"/>
      <c r="Q44" s="8"/>
      <c r="R44" s="13"/>
      <c r="S44" s="13"/>
      <c r="T44" s="13"/>
      <c r="U44" s="13"/>
      <c r="V44" s="13"/>
    </row>
    <row r="45" spans="2:22" s="11" customFormat="1" ht="15" hidden="1" customHeight="1" x14ac:dyDescent="0.2">
      <c r="B45" s="40"/>
      <c r="C45" s="41"/>
      <c r="D45" s="42"/>
      <c r="E45" s="34"/>
      <c r="F45" s="34"/>
      <c r="G45" s="34"/>
      <c r="H45" s="34"/>
      <c r="I45" s="34"/>
      <c r="J45" s="34"/>
      <c r="K45" s="34"/>
      <c r="L45" s="34"/>
      <c r="M45" s="43">
        <f t="shared" si="0"/>
        <v>0</v>
      </c>
      <c r="N45" s="611"/>
      <c r="O45" s="8"/>
      <c r="P45" s="8"/>
      <c r="Q45" s="8"/>
      <c r="R45" s="13"/>
      <c r="S45" s="13"/>
      <c r="T45" s="13"/>
      <c r="U45" s="13"/>
      <c r="V45" s="13"/>
    </row>
    <row r="46" spans="2:22" s="11" customFormat="1" ht="15" hidden="1" customHeight="1" x14ac:dyDescent="0.2">
      <c r="B46" s="45"/>
      <c r="C46" s="93"/>
      <c r="D46" s="94"/>
      <c r="E46" s="194"/>
      <c r="F46" s="194"/>
      <c r="G46" s="194"/>
      <c r="H46" s="194"/>
      <c r="I46" s="194"/>
      <c r="J46" s="194"/>
      <c r="K46" s="194"/>
      <c r="L46" s="194"/>
      <c r="M46" s="39">
        <f t="shared" si="0"/>
        <v>0</v>
      </c>
      <c r="N46" s="610"/>
      <c r="O46" s="8"/>
      <c r="P46" s="8"/>
      <c r="Q46" s="8"/>
      <c r="R46" s="13"/>
      <c r="S46" s="13"/>
      <c r="T46" s="13"/>
      <c r="U46" s="13"/>
      <c r="V46" s="13"/>
    </row>
    <row r="47" spans="2:22" s="11" customFormat="1" ht="15" hidden="1" customHeight="1" x14ac:dyDescent="0.2">
      <c r="B47" s="40"/>
      <c r="C47" s="41"/>
      <c r="D47" s="42"/>
      <c r="E47" s="34"/>
      <c r="F47" s="34"/>
      <c r="G47" s="34"/>
      <c r="H47" s="34"/>
      <c r="I47" s="34"/>
      <c r="J47" s="34"/>
      <c r="K47" s="34"/>
      <c r="L47" s="34"/>
      <c r="M47" s="43">
        <f t="shared" si="0"/>
        <v>0</v>
      </c>
      <c r="N47" s="611"/>
      <c r="O47" s="8"/>
      <c r="P47" s="8"/>
      <c r="Q47" s="8"/>
      <c r="R47" s="13"/>
      <c r="S47" s="13"/>
      <c r="T47" s="13"/>
      <c r="U47" s="13"/>
      <c r="V47" s="13"/>
    </row>
    <row r="48" spans="2:22" s="11" customFormat="1" ht="15" hidden="1" customHeight="1" x14ac:dyDescent="0.2">
      <c r="B48" s="45"/>
      <c r="C48" s="93"/>
      <c r="D48" s="94"/>
      <c r="E48" s="194"/>
      <c r="F48" s="194"/>
      <c r="G48" s="194"/>
      <c r="H48" s="194"/>
      <c r="I48" s="194"/>
      <c r="J48" s="194"/>
      <c r="K48" s="194"/>
      <c r="L48" s="194"/>
      <c r="M48" s="39">
        <f t="shared" si="0"/>
        <v>0</v>
      </c>
      <c r="N48" s="610"/>
      <c r="O48" s="8"/>
      <c r="P48" s="8"/>
      <c r="Q48" s="8"/>
      <c r="R48" s="13"/>
      <c r="S48" s="13"/>
      <c r="T48" s="13"/>
      <c r="U48" s="13"/>
      <c r="V48" s="13"/>
    </row>
    <row r="49" spans="1:22" s="11" customFormat="1" ht="15" hidden="1" customHeight="1" x14ac:dyDescent="0.2">
      <c r="B49" s="40"/>
      <c r="C49" s="41"/>
      <c r="D49" s="42"/>
      <c r="E49" s="34"/>
      <c r="F49" s="34"/>
      <c r="G49" s="34"/>
      <c r="H49" s="34"/>
      <c r="I49" s="34"/>
      <c r="J49" s="34"/>
      <c r="K49" s="34"/>
      <c r="L49" s="34"/>
      <c r="M49" s="43">
        <f t="shared" si="0"/>
        <v>0</v>
      </c>
      <c r="N49" s="611"/>
      <c r="O49" s="8"/>
      <c r="P49" s="8"/>
      <c r="Q49" s="8"/>
      <c r="R49" s="13"/>
      <c r="S49" s="13"/>
      <c r="T49" s="13"/>
      <c r="U49" s="13"/>
      <c r="V49" s="13"/>
    </row>
    <row r="50" spans="1:22" s="11" customFormat="1" ht="15" hidden="1" customHeight="1" x14ac:dyDescent="0.2">
      <c r="B50" s="45"/>
      <c r="C50" s="93"/>
      <c r="D50" s="94"/>
      <c r="E50" s="194"/>
      <c r="F50" s="194"/>
      <c r="G50" s="194"/>
      <c r="H50" s="194"/>
      <c r="I50" s="194"/>
      <c r="J50" s="194"/>
      <c r="K50" s="194"/>
      <c r="L50" s="194"/>
      <c r="M50" s="39">
        <f t="shared" si="0"/>
        <v>0</v>
      </c>
      <c r="N50" s="610"/>
      <c r="O50" s="8"/>
      <c r="P50" s="8"/>
      <c r="Q50" s="8"/>
      <c r="R50" s="13"/>
      <c r="S50" s="13"/>
      <c r="T50" s="13"/>
      <c r="U50" s="13"/>
      <c r="V50" s="13"/>
    </row>
    <row r="51" spans="1:22" s="11" customFormat="1" ht="15" hidden="1" customHeight="1" x14ac:dyDescent="0.2">
      <c r="B51" s="40"/>
      <c r="C51" s="41"/>
      <c r="D51" s="42"/>
      <c r="E51" s="34"/>
      <c r="F51" s="34"/>
      <c r="G51" s="34"/>
      <c r="H51" s="34"/>
      <c r="I51" s="34"/>
      <c r="J51" s="34"/>
      <c r="K51" s="34"/>
      <c r="L51" s="34"/>
      <c r="M51" s="43">
        <f t="shared" si="0"/>
        <v>0</v>
      </c>
      <c r="N51" s="611"/>
      <c r="O51" s="8"/>
      <c r="P51" s="8"/>
      <c r="Q51" s="8"/>
      <c r="R51" s="13"/>
      <c r="S51" s="13"/>
      <c r="T51" s="13"/>
      <c r="U51" s="13"/>
      <c r="V51" s="13"/>
    </row>
    <row r="52" spans="1:22" s="11" customFormat="1" ht="15" hidden="1" customHeight="1" x14ac:dyDescent="0.2">
      <c r="B52" s="45"/>
      <c r="C52" s="93"/>
      <c r="D52" s="94"/>
      <c r="E52" s="194"/>
      <c r="F52" s="194"/>
      <c r="G52" s="194"/>
      <c r="H52" s="194"/>
      <c r="I52" s="194"/>
      <c r="J52" s="194"/>
      <c r="K52" s="194"/>
      <c r="L52" s="194"/>
      <c r="M52" s="39">
        <f t="shared" si="0"/>
        <v>0</v>
      </c>
      <c r="N52" s="610"/>
      <c r="O52" s="8"/>
      <c r="P52" s="8"/>
      <c r="Q52" s="8"/>
      <c r="R52" s="13"/>
      <c r="S52" s="13"/>
      <c r="T52" s="13"/>
      <c r="U52" s="13"/>
      <c r="V52" s="13"/>
    </row>
    <row r="53" spans="1:22" s="11" customFormat="1" ht="15" hidden="1" customHeight="1" x14ac:dyDescent="0.2">
      <c r="B53" s="40"/>
      <c r="C53" s="41"/>
      <c r="D53" s="42"/>
      <c r="E53" s="34"/>
      <c r="F53" s="34"/>
      <c r="G53" s="34"/>
      <c r="H53" s="34"/>
      <c r="I53" s="34"/>
      <c r="J53" s="34"/>
      <c r="K53" s="34"/>
      <c r="L53" s="34"/>
      <c r="M53" s="43">
        <f t="shared" si="0"/>
        <v>0</v>
      </c>
      <c r="N53" s="611"/>
      <c r="O53" s="8"/>
      <c r="P53" s="8"/>
      <c r="Q53" s="8"/>
      <c r="R53" s="13"/>
      <c r="S53" s="13"/>
      <c r="T53" s="13"/>
      <c r="U53" s="13"/>
      <c r="V53" s="13"/>
    </row>
    <row r="54" spans="1:22" s="11" customFormat="1" ht="15" hidden="1" customHeight="1" x14ac:dyDescent="0.2">
      <c r="B54" s="45"/>
      <c r="C54" s="93"/>
      <c r="D54" s="94"/>
      <c r="E54" s="194"/>
      <c r="F54" s="194"/>
      <c r="G54" s="194"/>
      <c r="H54" s="194"/>
      <c r="I54" s="194"/>
      <c r="J54" s="194"/>
      <c r="K54" s="194"/>
      <c r="L54" s="194"/>
      <c r="M54" s="39">
        <f t="shared" si="0"/>
        <v>0</v>
      </c>
      <c r="N54" s="610"/>
      <c r="O54" s="8"/>
      <c r="P54" s="8"/>
      <c r="Q54" s="8"/>
      <c r="R54" s="13"/>
      <c r="S54" s="13"/>
      <c r="T54" s="13"/>
      <c r="U54" s="13"/>
      <c r="V54" s="13"/>
    </row>
    <row r="55" spans="1:22" s="11" customFormat="1" ht="15" hidden="1" customHeight="1" x14ac:dyDescent="0.2">
      <c r="B55" s="40"/>
      <c r="C55" s="41"/>
      <c r="D55" s="42"/>
      <c r="E55" s="34"/>
      <c r="F55" s="34"/>
      <c r="G55" s="34"/>
      <c r="H55" s="34"/>
      <c r="I55" s="34"/>
      <c r="J55" s="34"/>
      <c r="K55" s="34"/>
      <c r="L55" s="34"/>
      <c r="M55" s="43">
        <f t="shared" si="0"/>
        <v>0</v>
      </c>
      <c r="N55" s="611"/>
      <c r="O55" s="8"/>
      <c r="P55" s="8"/>
      <c r="Q55" s="8"/>
      <c r="R55" s="13"/>
      <c r="S55" s="13"/>
      <c r="T55" s="13"/>
      <c r="U55" s="13"/>
      <c r="V55" s="13"/>
    </row>
    <row r="56" spans="1:22" s="11" customFormat="1" ht="15" hidden="1" customHeight="1" x14ac:dyDescent="0.2">
      <c r="B56" s="45"/>
      <c r="C56" s="93"/>
      <c r="D56" s="94"/>
      <c r="E56" s="194"/>
      <c r="F56" s="194"/>
      <c r="G56" s="194"/>
      <c r="H56" s="194"/>
      <c r="I56" s="194"/>
      <c r="J56" s="194"/>
      <c r="K56" s="194"/>
      <c r="L56" s="194"/>
      <c r="M56" s="39">
        <f t="shared" si="0"/>
        <v>0</v>
      </c>
      <c r="N56" s="610"/>
      <c r="O56" s="8"/>
      <c r="P56" s="8"/>
      <c r="Q56" s="8"/>
      <c r="R56" s="13"/>
      <c r="S56" s="13"/>
      <c r="T56" s="13"/>
      <c r="U56" s="13"/>
      <c r="V56" s="13"/>
    </row>
    <row r="57" spans="1:22" s="11" customFormat="1" ht="15" hidden="1" customHeight="1" x14ac:dyDescent="0.2">
      <c r="B57" s="40"/>
      <c r="C57" s="41"/>
      <c r="D57" s="42"/>
      <c r="E57" s="34"/>
      <c r="F57" s="34"/>
      <c r="G57" s="34"/>
      <c r="H57" s="34"/>
      <c r="I57" s="34"/>
      <c r="J57" s="34"/>
      <c r="K57" s="34"/>
      <c r="L57" s="34"/>
      <c r="M57" s="43">
        <f t="shared" si="0"/>
        <v>0</v>
      </c>
      <c r="N57" s="611"/>
      <c r="O57" s="8"/>
      <c r="P57" s="8"/>
      <c r="Q57" s="8"/>
      <c r="R57" s="13"/>
      <c r="S57" s="13"/>
      <c r="T57" s="13"/>
      <c r="U57" s="13"/>
      <c r="V57" s="13"/>
    </row>
    <row r="58" spans="1:22" s="11" customFormat="1" ht="15" hidden="1" customHeight="1" x14ac:dyDescent="0.2">
      <c r="B58" s="45"/>
      <c r="C58" s="93"/>
      <c r="D58" s="94"/>
      <c r="E58" s="194"/>
      <c r="F58" s="194"/>
      <c r="G58" s="194"/>
      <c r="H58" s="194"/>
      <c r="I58" s="194"/>
      <c r="J58" s="194"/>
      <c r="K58" s="194"/>
      <c r="L58" s="194"/>
      <c r="M58" s="39">
        <f t="shared" si="0"/>
        <v>0</v>
      </c>
      <c r="N58" s="610"/>
      <c r="O58" s="8"/>
      <c r="P58" s="8"/>
      <c r="Q58" s="8"/>
      <c r="R58" s="13"/>
      <c r="S58" s="13"/>
      <c r="T58" s="13"/>
      <c r="U58" s="13"/>
      <c r="V58" s="13"/>
    </row>
    <row r="59" spans="1:22" s="11" customFormat="1" ht="15" customHeight="1" thickBot="1" x14ac:dyDescent="0.25">
      <c r="B59" s="49"/>
      <c r="C59" s="50" t="s">
        <v>31</v>
      </c>
      <c r="D59" s="51"/>
      <c r="E59" s="52">
        <f t="shared" ref="E59:M59" si="1">SUM(E4:E58)</f>
        <v>49755</v>
      </c>
      <c r="F59" s="52">
        <f t="shared" si="1"/>
        <v>169.08</v>
      </c>
      <c r="G59" s="52">
        <f t="shared" si="1"/>
        <v>292</v>
      </c>
      <c r="H59" s="52">
        <f t="shared" si="1"/>
        <v>0</v>
      </c>
      <c r="I59" s="52">
        <f t="shared" si="1"/>
        <v>0</v>
      </c>
      <c r="J59" s="52">
        <f t="shared" si="1"/>
        <v>49.63</v>
      </c>
      <c r="K59" s="52">
        <f t="shared" si="1"/>
        <v>11510.12</v>
      </c>
      <c r="L59" s="52">
        <f t="shared" si="1"/>
        <v>10620.04</v>
      </c>
      <c r="M59" s="52">
        <f t="shared" si="1"/>
        <v>72395.87</v>
      </c>
      <c r="N59" s="612"/>
      <c r="O59" s="8"/>
      <c r="P59" s="8"/>
      <c r="Q59" s="8"/>
    </row>
    <row r="60" spans="1:22" s="11" customFormat="1" ht="15" customHeight="1" thickTop="1" x14ac:dyDescent="0.2">
      <c r="A60" s="8"/>
      <c r="B60" s="19"/>
      <c r="C60" s="1051"/>
      <c r="D60" s="1052"/>
      <c r="E60" s="1052"/>
      <c r="F60" s="1052"/>
      <c r="G60" s="1052"/>
      <c r="H60" s="1052"/>
      <c r="I60" s="1052"/>
      <c r="J60" s="367">
        <f>J19+J20+J22</f>
        <v>0</v>
      </c>
      <c r="K60" s="1046"/>
      <c r="L60" s="1046"/>
      <c r="M60" s="195">
        <f>SUM(E59:L59)</f>
        <v>72395.87</v>
      </c>
      <c r="N60" s="613"/>
      <c r="O60" s="8"/>
      <c r="P60" s="8"/>
      <c r="Q60" s="8"/>
    </row>
    <row r="61" spans="1:22" s="11" customFormat="1" ht="15" customHeight="1" thickBot="1" x14ac:dyDescent="0.25">
      <c r="A61" s="8"/>
      <c r="B61" s="16"/>
      <c r="C61" s="1053"/>
      <c r="D61" s="1054"/>
      <c r="E61" s="1054"/>
      <c r="F61" s="1054"/>
      <c r="G61" s="1054"/>
      <c r="H61" s="1054"/>
      <c r="I61" s="1054"/>
      <c r="J61" s="164"/>
      <c r="K61" s="20"/>
      <c r="L61" s="17"/>
      <c r="M61" s="196">
        <f>M60-L59</f>
        <v>61775.83</v>
      </c>
      <c r="N61" s="978">
        <f>M60-E59</f>
        <v>22640.87</v>
      </c>
      <c r="O61" s="8"/>
      <c r="P61" s="8"/>
      <c r="Q61" s="8"/>
    </row>
    <row r="62" spans="1:22" x14ac:dyDescent="0.2">
      <c r="C62" s="6"/>
      <c r="M62" s="1">
        <f>M60-M59</f>
        <v>0</v>
      </c>
    </row>
  </sheetData>
  <sheetProtection algorithmName="SHA-512" hashValue="8pef0/duPrmLGkgvx+B+ouR4eXinrYavP1QECTWCtLcD9PqTEJLrOUKkz96XLWVJJMgx+Mf9uX6dHQuJ5Etehg==" saltValue="bj790ti2xkGsH7DxV7/T8Q==" spinCount="100000" sheet="1" formatCells="0" selectLockedCells="1"/>
  <mergeCells count="15">
    <mergeCell ref="B2:B3"/>
    <mergeCell ref="C2:C3"/>
    <mergeCell ref="D2:D3"/>
    <mergeCell ref="E2:E3"/>
    <mergeCell ref="N2:N3"/>
    <mergeCell ref="F2:F3"/>
    <mergeCell ref="L2:L3"/>
    <mergeCell ref="M2:M3"/>
    <mergeCell ref="K60:L60"/>
    <mergeCell ref="G2:G3"/>
    <mergeCell ref="I2:I3"/>
    <mergeCell ref="K2:K3"/>
    <mergeCell ref="C60:I61"/>
    <mergeCell ref="H2:H3"/>
    <mergeCell ref="J2:J3"/>
  </mergeCells>
  <phoneticPr fontId="0" type="noConversion"/>
  <printOptions horizontalCentered="1" verticalCentered="1"/>
  <pageMargins left="0" right="0" top="0.39370078740157483" bottom="0.39370078740157483" header="0.31496062992125984" footer="0.31496062992125984"/>
  <pageSetup paperSize="9" orientation="landscape" r:id="rId1"/>
  <headerFooter alignWithMargins="0">
    <oddHeader xml:space="preserve">&amp;CNassington Parish Council&amp;RAccounts to y/e 31 March 2021
</oddHeader>
    <oddFooter>&amp;C&amp;"Arial,Bold"&amp;14&amp;A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249977111117893"/>
    <pageSetUpPr fitToPage="1"/>
  </sheetPr>
  <dimension ref="A1:T161"/>
  <sheetViews>
    <sheetView showGridLines="0" showZeros="0" topLeftCell="B1" zoomScaleNormal="100" workbookViewId="0">
      <pane xSplit="2" ySplit="2" topLeftCell="D3" activePane="bottomRight" state="frozen"/>
      <selection activeCell="E22" sqref="E22"/>
      <selection pane="topRight" activeCell="E22" sqref="E22"/>
      <selection pane="bottomLeft" activeCell="E22" sqref="E22"/>
      <selection pane="bottomRight" activeCell="H117" sqref="H117"/>
    </sheetView>
  </sheetViews>
  <sheetFormatPr defaultColWidth="9.140625" defaultRowHeight="15" x14ac:dyDescent="0.25"/>
  <cols>
    <col min="1" max="1" width="1" style="33" hidden="1" customWidth="1"/>
    <col min="2" max="2" width="4" style="231" bestFit="1" customWidth="1"/>
    <col min="3" max="3" width="13.85546875" style="33" bestFit="1" customWidth="1"/>
    <col min="4" max="4" width="11.7109375" style="33" bestFit="1" customWidth="1"/>
    <col min="5" max="5" width="9.5703125" style="600" bestFit="1" customWidth="1"/>
    <col min="6" max="6" width="33.7109375" style="203" customWidth="1"/>
    <col min="7" max="7" width="3.42578125" style="603" customWidth="1"/>
    <col min="8" max="8" width="28.7109375" style="33" bestFit="1" customWidth="1"/>
    <col min="9" max="9" width="11.5703125" style="197" bestFit="1" customWidth="1"/>
    <col min="10" max="10" width="10.5703125" style="197" bestFit="1" customWidth="1"/>
    <col min="11" max="11" width="9.85546875" style="33" hidden="1" customWidth="1"/>
    <col min="12" max="12" width="6.7109375" style="33" customWidth="1"/>
    <col min="13" max="13" width="10.5703125" style="197" customWidth="1"/>
    <col min="14" max="14" width="9.5703125" style="197" bestFit="1" customWidth="1"/>
    <col min="15" max="15" width="38" style="33" customWidth="1"/>
    <col min="16" max="16" width="9.140625" style="33" customWidth="1"/>
    <col min="17" max="17" width="10.5703125" style="33" bestFit="1" customWidth="1"/>
    <col min="18" max="18" width="9.140625" style="33"/>
    <col min="19" max="19" width="12" style="33" bestFit="1" customWidth="1"/>
    <col min="20" max="20" width="10.5703125" style="33" bestFit="1" customWidth="1"/>
    <col min="21" max="16384" width="9.140625" style="33"/>
  </cols>
  <sheetData>
    <row r="1" spans="2:17" ht="15.75" thickBot="1" x14ac:dyDescent="0.3">
      <c r="D1" s="97"/>
    </row>
    <row r="2" spans="2:17" s="81" customFormat="1" ht="46.5" customHeight="1" thickTop="1" x14ac:dyDescent="0.25">
      <c r="B2" s="232"/>
      <c r="C2" s="98" t="s">
        <v>6</v>
      </c>
      <c r="D2" s="75" t="s">
        <v>242</v>
      </c>
      <c r="E2" s="77" t="s">
        <v>442</v>
      </c>
      <c r="F2" s="76" t="s">
        <v>245</v>
      </c>
      <c r="G2" s="242" t="s">
        <v>43</v>
      </c>
      <c r="H2" s="78" t="s">
        <v>35</v>
      </c>
      <c r="I2" s="198" t="s">
        <v>68</v>
      </c>
      <c r="J2" s="198" t="s">
        <v>358</v>
      </c>
      <c r="K2" s="79" t="s">
        <v>69</v>
      </c>
      <c r="L2" s="79" t="s">
        <v>40</v>
      </c>
      <c r="M2" s="200" t="s">
        <v>70</v>
      </c>
      <c r="N2" s="200" t="s">
        <v>5</v>
      </c>
      <c r="O2" s="80" t="s">
        <v>308</v>
      </c>
    </row>
    <row r="3" spans="2:17" s="81" customFormat="1" ht="15" customHeight="1" x14ac:dyDescent="0.25">
      <c r="B3" s="932">
        <v>1</v>
      </c>
      <c r="C3" s="575">
        <f>SUM(M3:N3)</f>
        <v>8.5</v>
      </c>
      <c r="D3" s="930">
        <v>44256</v>
      </c>
      <c r="E3" s="938" t="s">
        <v>311</v>
      </c>
      <c r="F3" s="904" t="s">
        <v>312</v>
      </c>
      <c r="G3" s="931" t="s">
        <v>306</v>
      </c>
      <c r="H3" s="928" t="s">
        <v>313</v>
      </c>
      <c r="I3" s="943">
        <v>8.5</v>
      </c>
      <c r="J3" s="943"/>
      <c r="K3" s="32"/>
      <c r="L3" s="32"/>
      <c r="M3" s="201">
        <f t="shared" ref="M3:M41" si="0">SUM(I3:L3)</f>
        <v>8.5</v>
      </c>
      <c r="N3" s="943"/>
      <c r="O3" s="131" t="s">
        <v>409</v>
      </c>
      <c r="P3" s="218"/>
    </row>
    <row r="4" spans="2:17" ht="15" customHeight="1" x14ac:dyDescent="0.25">
      <c r="B4" s="933">
        <f>B3+1</f>
        <v>2</v>
      </c>
      <c r="C4" s="177">
        <f>SUM(M4:N4)</f>
        <v>8.5</v>
      </c>
      <c r="D4" s="935">
        <v>44256</v>
      </c>
      <c r="E4" s="940" t="s">
        <v>311</v>
      </c>
      <c r="F4" s="905" t="s">
        <v>312</v>
      </c>
      <c r="G4" s="936" t="s">
        <v>306</v>
      </c>
      <c r="H4" s="937" t="s">
        <v>313</v>
      </c>
      <c r="I4" s="941">
        <v>8.5</v>
      </c>
      <c r="J4" s="941"/>
      <c r="K4" s="178"/>
      <c r="L4" s="178"/>
      <c r="M4" s="202">
        <f t="shared" si="0"/>
        <v>8.5</v>
      </c>
      <c r="N4" s="202"/>
      <c r="O4" s="179" t="s">
        <v>409</v>
      </c>
      <c r="P4" s="221"/>
      <c r="Q4" s="218"/>
    </row>
    <row r="5" spans="2:17" ht="15" customHeight="1" x14ac:dyDescent="0.25">
      <c r="B5" s="932">
        <f>B3+1</f>
        <v>2</v>
      </c>
      <c r="C5" s="575">
        <f>SUM(M5:N5)</f>
        <v>208.29</v>
      </c>
      <c r="D5" s="930">
        <v>44309</v>
      </c>
      <c r="E5" s="938" t="s">
        <v>441</v>
      </c>
      <c r="F5" s="904" t="s">
        <v>443</v>
      </c>
      <c r="G5" s="931" t="s">
        <v>306</v>
      </c>
      <c r="H5" s="928" t="s">
        <v>309</v>
      </c>
      <c r="I5" s="943"/>
      <c r="J5" s="943">
        <v>174.67</v>
      </c>
      <c r="K5" s="32"/>
      <c r="L5" s="32"/>
      <c r="M5" s="201">
        <f t="shared" si="0"/>
        <v>174.67</v>
      </c>
      <c r="N5" s="943">
        <v>33.619999999999997</v>
      </c>
      <c r="O5" s="131" t="s">
        <v>413</v>
      </c>
      <c r="P5" s="221"/>
    </row>
    <row r="6" spans="2:17" ht="15" customHeight="1" x14ac:dyDescent="0.25">
      <c r="B6" s="1075">
        <f>B5+1</f>
        <v>3</v>
      </c>
      <c r="C6" s="1076">
        <f>M6+M7+N6+N7</f>
        <v>97.65</v>
      </c>
      <c r="D6" s="1077">
        <v>44312</v>
      </c>
      <c r="E6" s="1082" t="s">
        <v>444</v>
      </c>
      <c r="F6" s="374" t="s">
        <v>351</v>
      </c>
      <c r="G6" s="1078" t="s">
        <v>306</v>
      </c>
      <c r="H6" s="1074" t="s">
        <v>295</v>
      </c>
      <c r="I6" s="941">
        <v>47.25</v>
      </c>
      <c r="J6" s="937"/>
      <c r="K6" s="941"/>
      <c r="L6" s="178"/>
      <c r="M6" s="202">
        <f t="shared" si="0"/>
        <v>47.25</v>
      </c>
      <c r="N6" s="942"/>
      <c r="O6" s="375" t="s">
        <v>407</v>
      </c>
      <c r="P6" s="221"/>
    </row>
    <row r="7" spans="2:17" ht="15" customHeight="1" x14ac:dyDescent="0.25">
      <c r="B7" s="1075"/>
      <c r="C7" s="1076"/>
      <c r="D7" s="1077"/>
      <c r="E7" s="1082"/>
      <c r="F7" s="602" t="s">
        <v>244</v>
      </c>
      <c r="G7" s="1078"/>
      <c r="H7" s="1074"/>
      <c r="I7" s="941">
        <v>50.4</v>
      </c>
      <c r="J7" s="937"/>
      <c r="K7" s="941"/>
      <c r="L7" s="178"/>
      <c r="M7" s="202">
        <f t="shared" si="0"/>
        <v>50.4</v>
      </c>
      <c r="N7" s="942"/>
      <c r="O7" s="375" t="s">
        <v>406</v>
      </c>
      <c r="P7" s="221"/>
    </row>
    <row r="8" spans="2:17" ht="15" customHeight="1" x14ac:dyDescent="0.25">
      <c r="B8" s="932">
        <f>B6+1</f>
        <v>4</v>
      </c>
      <c r="C8" s="575">
        <f>SUM(M8:N8)</f>
        <v>579.5</v>
      </c>
      <c r="D8" s="930">
        <v>44316</v>
      </c>
      <c r="E8" s="938" t="s">
        <v>305</v>
      </c>
      <c r="F8" s="299" t="s">
        <v>244</v>
      </c>
      <c r="G8" s="931" t="s">
        <v>306</v>
      </c>
      <c r="H8" s="928" t="s">
        <v>350</v>
      </c>
      <c r="I8" s="943">
        <v>579.5</v>
      </c>
      <c r="J8" s="943"/>
      <c r="K8" s="32"/>
      <c r="L8" s="32"/>
      <c r="M8" s="201">
        <f t="shared" si="0"/>
        <v>579.5</v>
      </c>
      <c r="N8" s="943"/>
      <c r="O8" s="131" t="s">
        <v>406</v>
      </c>
      <c r="P8" s="221"/>
    </row>
    <row r="9" spans="2:17" ht="15" customHeight="1" x14ac:dyDescent="0.25">
      <c r="B9" s="373">
        <f>B8+1</f>
        <v>5</v>
      </c>
      <c r="C9" s="177">
        <f>SUM(M9:N9)</f>
        <v>220.88</v>
      </c>
      <c r="D9" s="935">
        <v>44340</v>
      </c>
      <c r="E9" s="940" t="s">
        <v>441</v>
      </c>
      <c r="F9" s="905" t="s">
        <v>443</v>
      </c>
      <c r="G9" s="936" t="s">
        <v>306</v>
      </c>
      <c r="H9" s="937" t="s">
        <v>309</v>
      </c>
      <c r="I9" s="941"/>
      <c r="J9" s="941">
        <v>185.21</v>
      </c>
      <c r="K9" s="178"/>
      <c r="L9" s="178"/>
      <c r="M9" s="202">
        <f t="shared" si="0"/>
        <v>185.21</v>
      </c>
      <c r="N9" s="202">
        <v>35.67</v>
      </c>
      <c r="O9" s="179" t="s">
        <v>413</v>
      </c>
      <c r="P9" s="221"/>
    </row>
    <row r="10" spans="2:17" ht="15" customHeight="1" x14ac:dyDescent="0.25">
      <c r="B10" s="1068">
        <f>B9+1</f>
        <v>6</v>
      </c>
      <c r="C10" s="1070">
        <f>M10+M11+N10+N11</f>
        <v>99.61</v>
      </c>
      <c r="D10" s="1071">
        <v>44344</v>
      </c>
      <c r="E10" s="1072" t="s">
        <v>444</v>
      </c>
      <c r="F10" s="246" t="s">
        <v>351</v>
      </c>
      <c r="G10" s="1073" t="s">
        <v>306</v>
      </c>
      <c r="H10" s="1080" t="s">
        <v>295</v>
      </c>
      <c r="I10" s="939">
        <v>48.2</v>
      </c>
      <c r="J10" s="939"/>
      <c r="K10" s="32"/>
      <c r="L10" s="32"/>
      <c r="M10" s="201">
        <f t="shared" si="0"/>
        <v>48.2</v>
      </c>
      <c r="N10" s="201"/>
      <c r="O10" s="131" t="s">
        <v>407</v>
      </c>
      <c r="P10" s="221"/>
    </row>
    <row r="11" spans="2:17" s="81" customFormat="1" x14ac:dyDescent="0.25">
      <c r="B11" s="1068"/>
      <c r="C11" s="1070"/>
      <c r="D11" s="1071"/>
      <c r="E11" s="1072"/>
      <c r="F11" s="246" t="s">
        <v>244</v>
      </c>
      <c r="G11" s="1073"/>
      <c r="H11" s="1080"/>
      <c r="I11" s="939">
        <v>51.41</v>
      </c>
      <c r="J11" s="939"/>
      <c r="K11" s="32"/>
      <c r="L11" s="32"/>
      <c r="M11" s="201">
        <f t="shared" si="0"/>
        <v>51.41</v>
      </c>
      <c r="N11" s="943"/>
      <c r="O11" s="131" t="s">
        <v>406</v>
      </c>
      <c r="P11" s="221"/>
    </row>
    <row r="12" spans="2:17" x14ac:dyDescent="0.25">
      <c r="B12" s="933">
        <f>B10+1</f>
        <v>7</v>
      </c>
      <c r="C12" s="177">
        <f>SUM(M12:N12)</f>
        <v>579.5</v>
      </c>
      <c r="D12" s="935">
        <v>44348</v>
      </c>
      <c r="E12" s="940" t="s">
        <v>305</v>
      </c>
      <c r="F12" s="288" t="s">
        <v>244</v>
      </c>
      <c r="G12" s="936" t="s">
        <v>306</v>
      </c>
      <c r="H12" s="941" t="s">
        <v>350</v>
      </c>
      <c r="I12" s="942">
        <v>579.5</v>
      </c>
      <c r="J12" s="942"/>
      <c r="K12" s="178"/>
      <c r="L12" s="178"/>
      <c r="M12" s="202">
        <f t="shared" si="0"/>
        <v>579.5</v>
      </c>
      <c r="N12" s="942"/>
      <c r="O12" s="179" t="s">
        <v>406</v>
      </c>
      <c r="P12" s="221"/>
    </row>
    <row r="13" spans="2:17" s="81" customFormat="1" ht="15.75" customHeight="1" x14ac:dyDescent="0.25">
      <c r="B13" s="1068">
        <f>B12+1</f>
        <v>8</v>
      </c>
      <c r="C13" s="1070">
        <f>M13+M15+N13+N15+M14</f>
        <v>571.63</v>
      </c>
      <c r="D13" s="1071">
        <v>44355</v>
      </c>
      <c r="E13" s="1072" t="s">
        <v>441</v>
      </c>
      <c r="F13" s="906" t="s">
        <v>310</v>
      </c>
      <c r="G13" s="1073" t="s">
        <v>306</v>
      </c>
      <c r="H13" s="1080" t="s">
        <v>296</v>
      </c>
      <c r="I13" s="939">
        <f>163.33+163.73+49.57</f>
        <v>376.63</v>
      </c>
      <c r="K13" s="32"/>
      <c r="L13" s="32"/>
      <c r="M13" s="201">
        <f t="shared" si="0"/>
        <v>376.63</v>
      </c>
      <c r="N13" s="943"/>
      <c r="O13" s="131" t="s">
        <v>436</v>
      </c>
      <c r="P13" s="221"/>
    </row>
    <row r="14" spans="2:17" s="81" customFormat="1" ht="15.75" customHeight="1" x14ac:dyDescent="0.25">
      <c r="B14" s="1068"/>
      <c r="C14" s="1070"/>
      <c r="D14" s="1071"/>
      <c r="E14" s="1072"/>
      <c r="F14" s="906" t="s">
        <v>446</v>
      </c>
      <c r="G14" s="1073"/>
      <c r="H14" s="1080"/>
      <c r="I14" s="939">
        <v>10</v>
      </c>
      <c r="K14" s="32"/>
      <c r="L14" s="32"/>
      <c r="M14" s="201">
        <f t="shared" si="0"/>
        <v>10</v>
      </c>
      <c r="N14" s="943"/>
      <c r="O14" s="131" t="s">
        <v>409</v>
      </c>
      <c r="P14" s="221"/>
    </row>
    <row r="15" spans="2:17" s="81" customFormat="1" ht="15.75" customHeight="1" x14ac:dyDescent="0.25">
      <c r="B15" s="1068"/>
      <c r="C15" s="1070"/>
      <c r="D15" s="1071"/>
      <c r="E15" s="1072"/>
      <c r="F15" s="906" t="s">
        <v>445</v>
      </c>
      <c r="G15" s="1073"/>
      <c r="H15" s="1080"/>
      <c r="I15" s="939">
        <v>185</v>
      </c>
      <c r="K15" s="32"/>
      <c r="L15" s="32"/>
      <c r="M15" s="201">
        <f t="shared" si="0"/>
        <v>185</v>
      </c>
      <c r="N15" s="943"/>
      <c r="O15" s="131" t="s">
        <v>419</v>
      </c>
      <c r="P15" s="221"/>
    </row>
    <row r="16" spans="2:17" x14ac:dyDescent="0.25">
      <c r="B16" s="1075">
        <f>B13+1</f>
        <v>9</v>
      </c>
      <c r="C16" s="1076">
        <f>M16+M18+N16+N18+M17</f>
        <v>590</v>
      </c>
      <c r="D16" s="1077">
        <v>44355</v>
      </c>
      <c r="E16" s="1079" t="s">
        <v>441</v>
      </c>
      <c r="F16" s="907" t="s">
        <v>447</v>
      </c>
      <c r="G16" s="1078" t="s">
        <v>306</v>
      </c>
      <c r="H16" s="1083" t="s">
        <v>354</v>
      </c>
      <c r="I16" s="942"/>
      <c r="J16" s="942">
        <v>110</v>
      </c>
      <c r="K16" s="178"/>
      <c r="L16" s="178"/>
      <c r="M16" s="202">
        <f t="shared" si="0"/>
        <v>110</v>
      </c>
      <c r="N16" s="942"/>
      <c r="O16" s="179" t="s">
        <v>415</v>
      </c>
      <c r="P16" s="221"/>
      <c r="Q16" s="218"/>
    </row>
    <row r="17" spans="2:17" x14ac:dyDescent="0.25">
      <c r="B17" s="1075"/>
      <c r="C17" s="1076"/>
      <c r="D17" s="1077"/>
      <c r="E17" s="1079"/>
      <c r="F17" s="907" t="s">
        <v>449</v>
      </c>
      <c r="G17" s="1078"/>
      <c r="H17" s="1083"/>
      <c r="I17" s="942"/>
      <c r="J17" s="942">
        <v>250</v>
      </c>
      <c r="K17" s="178"/>
      <c r="L17" s="178"/>
      <c r="M17" s="202">
        <f t="shared" si="0"/>
        <v>250</v>
      </c>
      <c r="N17" s="942"/>
      <c r="O17" s="179" t="s">
        <v>427</v>
      </c>
      <c r="P17" s="221"/>
      <c r="Q17" s="218"/>
    </row>
    <row r="18" spans="2:17" x14ac:dyDescent="0.25">
      <c r="B18" s="1075"/>
      <c r="C18" s="1076"/>
      <c r="D18" s="1077"/>
      <c r="E18" s="1079"/>
      <c r="F18" s="907" t="s">
        <v>448</v>
      </c>
      <c r="G18" s="1078"/>
      <c r="H18" s="1083"/>
      <c r="I18" s="942"/>
      <c r="J18" s="942">
        <f>110+120</f>
        <v>230</v>
      </c>
      <c r="K18" s="178"/>
      <c r="L18" s="178"/>
      <c r="M18" s="202">
        <f t="shared" si="0"/>
        <v>230</v>
      </c>
      <c r="N18" s="942"/>
      <c r="O18" s="179" t="s">
        <v>415</v>
      </c>
      <c r="P18" s="221"/>
      <c r="Q18" s="218"/>
    </row>
    <row r="19" spans="2:17" x14ac:dyDescent="0.25">
      <c r="B19" s="932">
        <f>B16+1</f>
        <v>10</v>
      </c>
      <c r="C19" s="129">
        <f>SUM(M19:N19)</f>
        <v>10.5</v>
      </c>
      <c r="D19" s="930">
        <v>44355</v>
      </c>
      <c r="E19" s="938" t="s">
        <v>441</v>
      </c>
      <c r="F19" s="906" t="s">
        <v>246</v>
      </c>
      <c r="G19" s="931" t="s">
        <v>306</v>
      </c>
      <c r="H19" s="928" t="s">
        <v>296</v>
      </c>
      <c r="I19" s="943"/>
      <c r="J19" s="943">
        <v>10.5</v>
      </c>
      <c r="K19" s="32"/>
      <c r="L19" s="32"/>
      <c r="M19" s="201">
        <f t="shared" si="0"/>
        <v>10.5</v>
      </c>
      <c r="N19" s="943"/>
      <c r="O19" s="131" t="s">
        <v>411</v>
      </c>
      <c r="P19" s="221"/>
    </row>
    <row r="20" spans="2:17" ht="15" customHeight="1" x14ac:dyDescent="0.25">
      <c r="B20" s="933">
        <f t="shared" ref="B20:B21" si="1">B19+1</f>
        <v>11</v>
      </c>
      <c r="C20" s="177">
        <f>SUM(M20:N20)</f>
        <v>178.8</v>
      </c>
      <c r="D20" s="935">
        <v>44355</v>
      </c>
      <c r="E20" s="940" t="s">
        <v>441</v>
      </c>
      <c r="F20" s="905" t="s">
        <v>298</v>
      </c>
      <c r="G20" s="936" t="s">
        <v>306</v>
      </c>
      <c r="H20" s="941" t="s">
        <v>326</v>
      </c>
      <c r="I20" s="941"/>
      <c r="J20" s="941">
        <v>149</v>
      </c>
      <c r="K20" s="178"/>
      <c r="L20" s="178"/>
      <c r="M20" s="202">
        <f t="shared" si="0"/>
        <v>149</v>
      </c>
      <c r="N20" s="942">
        <v>29.8</v>
      </c>
      <c r="O20" s="179" t="s">
        <v>577</v>
      </c>
      <c r="P20" s="221"/>
      <c r="Q20" s="218"/>
    </row>
    <row r="21" spans="2:17" x14ac:dyDescent="0.25">
      <c r="B21" s="232">
        <f t="shared" si="1"/>
        <v>12</v>
      </c>
      <c r="C21" s="129">
        <f>SUM(M21:N21)</f>
        <v>495.38</v>
      </c>
      <c r="D21" s="930">
        <v>44355</v>
      </c>
      <c r="E21" s="938" t="s">
        <v>441</v>
      </c>
      <c r="F21" s="299" t="s">
        <v>307</v>
      </c>
      <c r="G21" s="931" t="s">
        <v>306</v>
      </c>
      <c r="H21" s="928" t="s">
        <v>299</v>
      </c>
      <c r="I21" s="943">
        <v>495.38</v>
      </c>
      <c r="J21" s="943"/>
      <c r="K21" s="32"/>
      <c r="L21" s="32"/>
      <c r="M21" s="201">
        <f t="shared" si="0"/>
        <v>495.38</v>
      </c>
      <c r="N21" s="943"/>
      <c r="O21" s="131" t="s">
        <v>406</v>
      </c>
      <c r="P21" s="221"/>
      <c r="Q21" s="218"/>
    </row>
    <row r="22" spans="2:17" x14ac:dyDescent="0.25">
      <c r="B22" s="373">
        <f>B21+1</f>
        <v>13</v>
      </c>
      <c r="C22" s="177">
        <f>SUM(M22:N22)</f>
        <v>40</v>
      </c>
      <c r="D22" s="935">
        <v>44355</v>
      </c>
      <c r="E22" s="940" t="s">
        <v>441</v>
      </c>
      <c r="F22" s="907" t="s">
        <v>450</v>
      </c>
      <c r="G22" s="936" t="s">
        <v>306</v>
      </c>
      <c r="H22" s="605" t="s">
        <v>355</v>
      </c>
      <c r="I22" s="942">
        <v>40</v>
      </c>
      <c r="J22" s="942"/>
      <c r="K22" s="178"/>
      <c r="L22" s="178"/>
      <c r="M22" s="202">
        <f t="shared" si="0"/>
        <v>40</v>
      </c>
      <c r="N22" s="202"/>
      <c r="O22" s="179" t="s">
        <v>409</v>
      </c>
      <c r="P22" s="221"/>
      <c r="Q22" s="218"/>
    </row>
    <row r="23" spans="2:17" x14ac:dyDescent="0.25">
      <c r="B23" s="1068">
        <f t="shared" ref="B23:B30" si="2">B22+1</f>
        <v>14</v>
      </c>
      <c r="C23" s="1070">
        <f>M23+M24+N23+N24</f>
        <v>99.61</v>
      </c>
      <c r="D23" s="1071">
        <v>44356</v>
      </c>
      <c r="E23" s="1072" t="s">
        <v>444</v>
      </c>
      <c r="F23" s="246" t="s">
        <v>351</v>
      </c>
      <c r="G23" s="1073" t="s">
        <v>306</v>
      </c>
      <c r="H23" s="1080" t="s">
        <v>295</v>
      </c>
      <c r="I23" s="939">
        <v>48.2</v>
      </c>
      <c r="J23" s="939"/>
      <c r="K23" s="32"/>
      <c r="L23" s="32"/>
      <c r="M23" s="201">
        <f t="shared" si="0"/>
        <v>48.2</v>
      </c>
      <c r="N23" s="201"/>
      <c r="O23" s="131" t="s">
        <v>407</v>
      </c>
      <c r="P23" s="221"/>
      <c r="Q23" s="218"/>
    </row>
    <row r="24" spans="2:17" x14ac:dyDescent="0.25">
      <c r="B24" s="1068"/>
      <c r="C24" s="1070"/>
      <c r="D24" s="1071"/>
      <c r="E24" s="1072"/>
      <c r="F24" s="246" t="s">
        <v>244</v>
      </c>
      <c r="G24" s="1073"/>
      <c r="H24" s="1080"/>
      <c r="I24" s="939">
        <v>51.41</v>
      </c>
      <c r="J24" s="939"/>
      <c r="K24" s="32"/>
      <c r="L24" s="32"/>
      <c r="M24" s="201">
        <f t="shared" si="0"/>
        <v>51.41</v>
      </c>
      <c r="N24" s="943"/>
      <c r="O24" s="131" t="s">
        <v>406</v>
      </c>
      <c r="P24" s="221"/>
      <c r="Q24" s="218"/>
    </row>
    <row r="25" spans="2:17" s="81" customFormat="1" ht="15.75" customHeight="1" x14ac:dyDescent="0.25">
      <c r="B25" s="373">
        <f>B23+1</f>
        <v>15</v>
      </c>
      <c r="C25" s="177">
        <f>SUM(M25:N25)</f>
        <v>780</v>
      </c>
      <c r="D25" s="935">
        <v>44365</v>
      </c>
      <c r="E25" s="940" t="s">
        <v>441</v>
      </c>
      <c r="F25" s="907" t="s">
        <v>451</v>
      </c>
      <c r="G25" s="936" t="s">
        <v>306</v>
      </c>
      <c r="H25" s="937" t="s">
        <v>452</v>
      </c>
      <c r="I25" s="942"/>
      <c r="J25" s="942">
        <v>650</v>
      </c>
      <c r="K25" s="178"/>
      <c r="L25" s="178"/>
      <c r="M25" s="202">
        <f t="shared" si="0"/>
        <v>650</v>
      </c>
      <c r="N25" s="942">
        <f>M25*20%</f>
        <v>130</v>
      </c>
      <c r="O25" s="179" t="s">
        <v>415</v>
      </c>
      <c r="P25" s="221"/>
      <c r="Q25" s="218"/>
    </row>
    <row r="26" spans="2:17" x14ac:dyDescent="0.25">
      <c r="B26" s="932">
        <f t="shared" si="2"/>
        <v>16</v>
      </c>
      <c r="C26" s="575">
        <f>SUM(M26:N26)</f>
        <v>188.25</v>
      </c>
      <c r="D26" s="930">
        <v>44368</v>
      </c>
      <c r="E26" s="938" t="s">
        <v>441</v>
      </c>
      <c r="F26" s="904" t="s">
        <v>443</v>
      </c>
      <c r="G26" s="931" t="s">
        <v>306</v>
      </c>
      <c r="H26" s="928" t="s">
        <v>309</v>
      </c>
      <c r="I26" s="369"/>
      <c r="J26" s="369">
        <f>150.2+7.7</f>
        <v>157.9</v>
      </c>
      <c r="K26" s="370"/>
      <c r="L26" s="370"/>
      <c r="M26" s="579">
        <f t="shared" si="0"/>
        <v>157.9</v>
      </c>
      <c r="N26" s="371">
        <v>30.35</v>
      </c>
      <c r="O26" s="131" t="s">
        <v>413</v>
      </c>
      <c r="P26" s="221"/>
    </row>
    <row r="27" spans="2:17" ht="15" customHeight="1" x14ac:dyDescent="0.25">
      <c r="B27" s="933">
        <f>B26+1</f>
        <v>17</v>
      </c>
      <c r="C27" s="177">
        <f>SUM(M27:N27)</f>
        <v>3.4</v>
      </c>
      <c r="D27" s="935">
        <v>44368</v>
      </c>
      <c r="E27" s="940" t="s">
        <v>311</v>
      </c>
      <c r="F27" s="905" t="s">
        <v>312</v>
      </c>
      <c r="G27" s="936" t="s">
        <v>306</v>
      </c>
      <c r="H27" s="937" t="s">
        <v>313</v>
      </c>
      <c r="I27" s="941">
        <v>3.4</v>
      </c>
      <c r="J27" s="941"/>
      <c r="K27" s="178"/>
      <c r="L27" s="178"/>
      <c r="M27" s="202">
        <f t="shared" si="0"/>
        <v>3.4</v>
      </c>
      <c r="N27" s="202"/>
      <c r="O27" s="179" t="s">
        <v>409</v>
      </c>
      <c r="P27" s="221"/>
      <c r="Q27" s="218"/>
    </row>
    <row r="28" spans="2:17" ht="15" customHeight="1" x14ac:dyDescent="0.25">
      <c r="B28" s="232">
        <f>B26+1</f>
        <v>17</v>
      </c>
      <c r="C28" s="129">
        <f>SUM(M28:N28)</f>
        <v>590.52</v>
      </c>
      <c r="D28" s="930">
        <v>44377</v>
      </c>
      <c r="E28" s="938" t="s">
        <v>305</v>
      </c>
      <c r="F28" s="299" t="s">
        <v>244</v>
      </c>
      <c r="G28" s="931" t="s">
        <v>306</v>
      </c>
      <c r="H28" s="928" t="s">
        <v>350</v>
      </c>
      <c r="I28" s="943">
        <v>590.52</v>
      </c>
      <c r="J28" s="943"/>
      <c r="K28" s="32"/>
      <c r="L28" s="32"/>
      <c r="M28" s="201">
        <f t="shared" si="0"/>
        <v>590.52</v>
      </c>
      <c r="N28" s="943"/>
      <c r="O28" s="131" t="s">
        <v>406</v>
      </c>
      <c r="P28" s="221"/>
    </row>
    <row r="29" spans="2:17" x14ac:dyDescent="0.25">
      <c r="B29" s="373">
        <f t="shared" si="2"/>
        <v>18</v>
      </c>
      <c r="C29" s="177">
        <f>SUM(M29:N29)</f>
        <v>18</v>
      </c>
      <c r="D29" s="935">
        <v>44377</v>
      </c>
      <c r="E29" s="940" t="s">
        <v>352</v>
      </c>
      <c r="F29" s="288" t="s">
        <v>353</v>
      </c>
      <c r="G29" s="936" t="s">
        <v>306</v>
      </c>
      <c r="H29" s="937" t="s">
        <v>453</v>
      </c>
      <c r="I29" s="942">
        <v>18</v>
      </c>
      <c r="J29" s="942"/>
      <c r="K29" s="178"/>
      <c r="L29" s="178"/>
      <c r="M29" s="202">
        <f t="shared" si="0"/>
        <v>18</v>
      </c>
      <c r="N29" s="942"/>
      <c r="O29" s="179" t="s">
        <v>409</v>
      </c>
      <c r="P29" s="221"/>
    </row>
    <row r="30" spans="2:17" x14ac:dyDescent="0.25">
      <c r="B30" s="1068">
        <f t="shared" si="2"/>
        <v>19</v>
      </c>
      <c r="C30" s="1070">
        <f>M30+M31+N30+N31</f>
        <v>510</v>
      </c>
      <c r="D30" s="1071">
        <v>44377</v>
      </c>
      <c r="E30" s="1072" t="s">
        <v>441</v>
      </c>
      <c r="F30" s="904" t="s">
        <v>454</v>
      </c>
      <c r="G30" s="1073" t="s">
        <v>306</v>
      </c>
      <c r="H30" s="1069" t="s">
        <v>354</v>
      </c>
      <c r="I30" s="943"/>
      <c r="J30" s="943">
        <v>250</v>
      </c>
      <c r="K30" s="32"/>
      <c r="L30" s="32"/>
      <c r="M30" s="201">
        <f t="shared" si="0"/>
        <v>250</v>
      </c>
      <c r="N30" s="943"/>
      <c r="O30" s="131" t="s">
        <v>427</v>
      </c>
      <c r="P30" s="221"/>
    </row>
    <row r="31" spans="2:17" x14ac:dyDescent="0.25">
      <c r="B31" s="1068"/>
      <c r="C31" s="1070"/>
      <c r="D31" s="1071"/>
      <c r="E31" s="1072"/>
      <c r="F31" s="904" t="s">
        <v>455</v>
      </c>
      <c r="G31" s="1073"/>
      <c r="H31" s="1069"/>
      <c r="I31" s="943"/>
      <c r="J31" s="943">
        <v>260</v>
      </c>
      <c r="K31" s="32"/>
      <c r="L31" s="32"/>
      <c r="M31" s="201">
        <f t="shared" si="0"/>
        <v>260</v>
      </c>
      <c r="N31" s="943"/>
      <c r="O31" s="131" t="s">
        <v>415</v>
      </c>
      <c r="P31" s="221"/>
    </row>
    <row r="32" spans="2:17" ht="15.75" customHeight="1" x14ac:dyDescent="0.25">
      <c r="B32" s="1075">
        <f>B30+1</f>
        <v>20</v>
      </c>
      <c r="C32" s="1076">
        <f>M32+M33+N32+N33</f>
        <v>99.61</v>
      </c>
      <c r="D32" s="1077">
        <v>44386</v>
      </c>
      <c r="E32" s="1079" t="s">
        <v>444</v>
      </c>
      <c r="F32" s="245" t="s">
        <v>351</v>
      </c>
      <c r="G32" s="1078" t="s">
        <v>306</v>
      </c>
      <c r="H32" s="1074" t="s">
        <v>295</v>
      </c>
      <c r="I32" s="941">
        <v>48.2</v>
      </c>
      <c r="J32" s="941"/>
      <c r="K32" s="178"/>
      <c r="L32" s="178"/>
      <c r="M32" s="202">
        <f t="shared" si="0"/>
        <v>48.2</v>
      </c>
      <c r="N32" s="202"/>
      <c r="O32" s="179" t="s">
        <v>407</v>
      </c>
    </row>
    <row r="33" spans="2:17" ht="15.75" customHeight="1" x14ac:dyDescent="0.25">
      <c r="B33" s="1075"/>
      <c r="C33" s="1076"/>
      <c r="D33" s="1077"/>
      <c r="E33" s="1079"/>
      <c r="F33" s="245" t="s">
        <v>244</v>
      </c>
      <c r="G33" s="1078"/>
      <c r="H33" s="1074"/>
      <c r="I33" s="941">
        <v>51.41</v>
      </c>
      <c r="J33" s="941"/>
      <c r="K33" s="178"/>
      <c r="L33" s="178"/>
      <c r="M33" s="202">
        <f t="shared" si="0"/>
        <v>51.41</v>
      </c>
      <c r="N33" s="942"/>
      <c r="O33" s="179" t="s">
        <v>406</v>
      </c>
    </row>
    <row r="34" spans="2:17" x14ac:dyDescent="0.25">
      <c r="B34" s="932">
        <f>B32+1</f>
        <v>21</v>
      </c>
      <c r="C34" s="129">
        <f>SUM(M34:N34)</f>
        <v>57.46</v>
      </c>
      <c r="D34" s="930">
        <v>44389</v>
      </c>
      <c r="E34" s="938" t="s">
        <v>441</v>
      </c>
      <c r="F34" s="904" t="s">
        <v>366</v>
      </c>
      <c r="G34" s="931" t="s">
        <v>306</v>
      </c>
      <c r="H34" s="939" t="s">
        <v>314</v>
      </c>
      <c r="I34" s="943"/>
      <c r="J34" s="943">
        <v>47.88</v>
      </c>
      <c r="K34" s="32"/>
      <c r="L34" s="32"/>
      <c r="M34" s="201">
        <f t="shared" si="0"/>
        <v>47.88</v>
      </c>
      <c r="N34" s="943">
        <f>M34*20%</f>
        <v>9.58</v>
      </c>
      <c r="O34" s="131" t="s">
        <v>412</v>
      </c>
      <c r="P34" s="221"/>
      <c r="Q34" s="218"/>
    </row>
    <row r="35" spans="2:17" x14ac:dyDescent="0.25">
      <c r="B35" s="933">
        <f>B34+1</f>
        <v>22</v>
      </c>
      <c r="C35" s="177">
        <f>SUM(M35:N35)</f>
        <v>690.22</v>
      </c>
      <c r="D35" s="935">
        <v>44389</v>
      </c>
      <c r="E35" s="940" t="s">
        <v>441</v>
      </c>
      <c r="F35" s="907" t="s">
        <v>456</v>
      </c>
      <c r="G35" s="936" t="s">
        <v>306</v>
      </c>
      <c r="H35" s="937" t="s">
        <v>457</v>
      </c>
      <c r="I35" s="942"/>
      <c r="J35" s="942">
        <v>690.22</v>
      </c>
      <c r="K35" s="178"/>
      <c r="L35" s="178"/>
      <c r="M35" s="202">
        <f t="shared" si="0"/>
        <v>690.22</v>
      </c>
      <c r="N35" s="942"/>
      <c r="O35" s="179" t="s">
        <v>417</v>
      </c>
      <c r="P35" s="221"/>
    </row>
    <row r="36" spans="2:17" s="81" customFormat="1" x14ac:dyDescent="0.25">
      <c r="B36" s="932">
        <f>B35+1</f>
        <v>23</v>
      </c>
      <c r="C36" s="129">
        <f>SUM(M36:N36)</f>
        <v>201.29</v>
      </c>
      <c r="D36" s="930">
        <v>44396</v>
      </c>
      <c r="E36" s="938" t="s">
        <v>444</v>
      </c>
      <c r="F36" s="904" t="s">
        <v>443</v>
      </c>
      <c r="G36" s="931" t="s">
        <v>306</v>
      </c>
      <c r="H36" s="928" t="s">
        <v>309</v>
      </c>
      <c r="I36" s="943"/>
      <c r="J36" s="943">
        <v>168.82</v>
      </c>
      <c r="K36" s="32"/>
      <c r="L36" s="32"/>
      <c r="M36" s="201">
        <f t="shared" si="0"/>
        <v>168.82</v>
      </c>
      <c r="N36" s="943">
        <v>32.47</v>
      </c>
      <c r="O36" s="131" t="s">
        <v>413</v>
      </c>
      <c r="P36" s="221"/>
    </row>
    <row r="37" spans="2:17" x14ac:dyDescent="0.25">
      <c r="B37" s="933">
        <f>+B36+1</f>
        <v>24</v>
      </c>
      <c r="C37" s="934">
        <f>SUM(M37:N37)</f>
        <v>141</v>
      </c>
      <c r="D37" s="935">
        <v>44399</v>
      </c>
      <c r="E37" s="940" t="s">
        <v>441</v>
      </c>
      <c r="F37" s="905" t="s">
        <v>315</v>
      </c>
      <c r="G37" s="936" t="s">
        <v>306</v>
      </c>
      <c r="H37" s="937" t="s">
        <v>458</v>
      </c>
      <c r="I37" s="941"/>
      <c r="J37" s="941">
        <v>117.5</v>
      </c>
      <c r="K37" s="178"/>
      <c r="L37" s="178"/>
      <c r="M37" s="202">
        <f t="shared" si="0"/>
        <v>117.5</v>
      </c>
      <c r="N37" s="942">
        <f>M37*20%</f>
        <v>23.5</v>
      </c>
      <c r="O37" s="179" t="s">
        <v>414</v>
      </c>
      <c r="P37" s="221"/>
    </row>
    <row r="38" spans="2:17" s="81" customFormat="1" x14ac:dyDescent="0.25">
      <c r="B38" s="232">
        <f t="shared" ref="B38:B79" si="3">B37+1</f>
        <v>25</v>
      </c>
      <c r="C38" s="129">
        <f>SUM(M38:N38)</f>
        <v>590.52</v>
      </c>
      <c r="D38" s="930">
        <v>44410</v>
      </c>
      <c r="E38" s="938" t="s">
        <v>305</v>
      </c>
      <c r="F38" s="299" t="s">
        <v>244</v>
      </c>
      <c r="G38" s="931" t="s">
        <v>306</v>
      </c>
      <c r="H38" s="928" t="s">
        <v>350</v>
      </c>
      <c r="I38" s="372">
        <v>590.52</v>
      </c>
      <c r="J38" s="943"/>
      <c r="K38" s="32"/>
      <c r="L38" s="32"/>
      <c r="M38" s="201">
        <f t="shared" si="0"/>
        <v>590.52</v>
      </c>
      <c r="N38" s="943"/>
      <c r="O38" s="131" t="s">
        <v>406</v>
      </c>
      <c r="P38" s="221"/>
    </row>
    <row r="39" spans="2:17" x14ac:dyDescent="0.25">
      <c r="B39" s="1075">
        <f t="shared" si="3"/>
        <v>26</v>
      </c>
      <c r="C39" s="1076">
        <f>M39+M40+N39+N40</f>
        <v>99.61</v>
      </c>
      <c r="D39" s="1077">
        <v>44417</v>
      </c>
      <c r="E39" s="1079" t="s">
        <v>444</v>
      </c>
      <c r="F39" s="245" t="s">
        <v>351</v>
      </c>
      <c r="G39" s="1078" t="s">
        <v>306</v>
      </c>
      <c r="H39" s="1074" t="s">
        <v>295</v>
      </c>
      <c r="I39" s="941">
        <v>48.2</v>
      </c>
      <c r="J39" s="941"/>
      <c r="K39" s="178"/>
      <c r="L39" s="178"/>
      <c r="M39" s="202">
        <f t="shared" si="0"/>
        <v>48.2</v>
      </c>
      <c r="N39" s="202"/>
      <c r="O39" s="179" t="s">
        <v>407</v>
      </c>
      <c r="P39" s="221"/>
    </row>
    <row r="40" spans="2:17" x14ac:dyDescent="0.25">
      <c r="B40" s="1075"/>
      <c r="C40" s="1076"/>
      <c r="D40" s="1077"/>
      <c r="E40" s="1079"/>
      <c r="F40" s="245" t="s">
        <v>244</v>
      </c>
      <c r="G40" s="1078"/>
      <c r="H40" s="1074"/>
      <c r="I40" s="941">
        <v>51.41</v>
      </c>
      <c r="J40" s="941"/>
      <c r="K40" s="178"/>
      <c r="L40" s="178"/>
      <c r="M40" s="202">
        <f t="shared" si="0"/>
        <v>51.41</v>
      </c>
      <c r="N40" s="942"/>
      <c r="O40" s="179" t="s">
        <v>406</v>
      </c>
      <c r="P40" s="221"/>
    </row>
    <row r="41" spans="2:17" x14ac:dyDescent="0.25">
      <c r="B41" s="232">
        <f>B39+1</f>
        <v>27</v>
      </c>
      <c r="C41" s="129">
        <f>SUM(M41:N41)</f>
        <v>214.33</v>
      </c>
      <c r="D41" s="930">
        <v>44428</v>
      </c>
      <c r="E41" s="938" t="s">
        <v>444</v>
      </c>
      <c r="F41" s="904" t="s">
        <v>443</v>
      </c>
      <c r="G41" s="931" t="s">
        <v>306</v>
      </c>
      <c r="H41" s="928" t="s">
        <v>309</v>
      </c>
      <c r="I41" s="943"/>
      <c r="J41" s="943">
        <v>179.74</v>
      </c>
      <c r="K41" s="32"/>
      <c r="L41" s="32"/>
      <c r="M41" s="201">
        <f t="shared" si="0"/>
        <v>179.74</v>
      </c>
      <c r="N41" s="201">
        <v>34.590000000000003</v>
      </c>
      <c r="O41" s="131" t="s">
        <v>413</v>
      </c>
      <c r="P41" s="221"/>
    </row>
    <row r="42" spans="2:17" s="81" customFormat="1" ht="15.75" customHeight="1" x14ac:dyDescent="0.25">
      <c r="B42" s="373">
        <f t="shared" si="3"/>
        <v>28</v>
      </c>
      <c r="C42" s="934">
        <f>SUM(M42:N42)</f>
        <v>590.52</v>
      </c>
      <c r="D42" s="935">
        <v>44439</v>
      </c>
      <c r="E42" s="940" t="s">
        <v>305</v>
      </c>
      <c r="F42" s="288" t="s">
        <v>244</v>
      </c>
      <c r="G42" s="936" t="s">
        <v>306</v>
      </c>
      <c r="H42" s="937" t="s">
        <v>350</v>
      </c>
      <c r="I42" s="942">
        <v>590.52</v>
      </c>
      <c r="J42" s="942"/>
      <c r="K42" s="178"/>
      <c r="L42" s="178"/>
      <c r="M42" s="202">
        <v>590.52</v>
      </c>
      <c r="N42" s="942"/>
      <c r="O42" s="179" t="s">
        <v>406</v>
      </c>
      <c r="P42" s="221"/>
      <c r="Q42" s="218"/>
    </row>
    <row r="43" spans="2:17" s="81" customFormat="1" x14ac:dyDescent="0.25">
      <c r="B43" s="1068">
        <f>B42+1</f>
        <v>29</v>
      </c>
      <c r="C43" s="1070">
        <f>M43+M44+N43+N44</f>
        <v>99.61</v>
      </c>
      <c r="D43" s="1071">
        <v>44452</v>
      </c>
      <c r="E43" s="1084" t="s">
        <v>444</v>
      </c>
      <c r="F43" s="620" t="s">
        <v>351</v>
      </c>
      <c r="G43" s="1073" t="s">
        <v>306</v>
      </c>
      <c r="H43" s="1080" t="s">
        <v>295</v>
      </c>
      <c r="I43" s="939">
        <v>48.2</v>
      </c>
      <c r="J43" s="928"/>
      <c r="K43" s="939"/>
      <c r="L43" s="32"/>
      <c r="M43" s="201">
        <f t="shared" ref="M43:M76" si="4">SUM(I43:L43)</f>
        <v>48.2</v>
      </c>
      <c r="N43" s="943"/>
      <c r="O43" s="621" t="s">
        <v>407</v>
      </c>
    </row>
    <row r="44" spans="2:17" s="81" customFormat="1" x14ac:dyDescent="0.25">
      <c r="B44" s="1068"/>
      <c r="C44" s="1070"/>
      <c r="D44" s="1071"/>
      <c r="E44" s="1084"/>
      <c r="F44" s="622" t="s">
        <v>244</v>
      </c>
      <c r="G44" s="1073"/>
      <c r="H44" s="1080"/>
      <c r="I44" s="939">
        <v>51.41</v>
      </c>
      <c r="J44" s="928"/>
      <c r="K44" s="939"/>
      <c r="L44" s="32"/>
      <c r="M44" s="201">
        <f t="shared" si="4"/>
        <v>51.41</v>
      </c>
      <c r="N44" s="943"/>
      <c r="O44" s="621" t="s">
        <v>406</v>
      </c>
    </row>
    <row r="45" spans="2:17" s="81" customFormat="1" ht="15.75" customHeight="1" x14ac:dyDescent="0.25">
      <c r="B45" s="933">
        <f>B43+1</f>
        <v>30</v>
      </c>
      <c r="C45" s="934">
        <f>SUM(M45:N45)</f>
        <v>198.64</v>
      </c>
      <c r="D45" s="935">
        <v>44459</v>
      </c>
      <c r="E45" s="940" t="s">
        <v>441</v>
      </c>
      <c r="F45" s="907" t="s">
        <v>443</v>
      </c>
      <c r="G45" s="936" t="s">
        <v>306</v>
      </c>
      <c r="H45" s="937" t="s">
        <v>309</v>
      </c>
      <c r="I45" s="913"/>
      <c r="J45" s="913">
        <v>166.6</v>
      </c>
      <c r="K45" s="914"/>
      <c r="L45" s="914"/>
      <c r="M45" s="202">
        <f t="shared" si="4"/>
        <v>166.6</v>
      </c>
      <c r="N45" s="915">
        <v>32.04</v>
      </c>
      <c r="O45" s="179" t="s">
        <v>413</v>
      </c>
      <c r="P45" s="221"/>
      <c r="Q45" s="218"/>
    </row>
    <row r="46" spans="2:17" s="81" customFormat="1" x14ac:dyDescent="0.25">
      <c r="B46" s="932">
        <f>B45+1</f>
        <v>31</v>
      </c>
      <c r="C46" s="129">
        <f>SUM(M46:N46)</f>
        <v>590.52</v>
      </c>
      <c r="D46" s="930">
        <v>44469</v>
      </c>
      <c r="E46" s="938" t="s">
        <v>305</v>
      </c>
      <c r="F46" s="299" t="s">
        <v>244</v>
      </c>
      <c r="G46" s="931" t="s">
        <v>306</v>
      </c>
      <c r="H46" s="928" t="s">
        <v>350</v>
      </c>
      <c r="I46" s="372">
        <v>590.52</v>
      </c>
      <c r="J46" s="943"/>
      <c r="K46" s="32"/>
      <c r="L46" s="32"/>
      <c r="M46" s="201">
        <f t="shared" si="4"/>
        <v>590.52</v>
      </c>
      <c r="N46" s="943"/>
      <c r="O46" s="131" t="s">
        <v>406</v>
      </c>
      <c r="P46" s="221"/>
    </row>
    <row r="47" spans="2:17" x14ac:dyDescent="0.25">
      <c r="B47" s="933">
        <f>B46+1</f>
        <v>32</v>
      </c>
      <c r="C47" s="177">
        <f>SUM(M47:N47)</f>
        <v>18</v>
      </c>
      <c r="D47" s="935">
        <v>44469</v>
      </c>
      <c r="E47" s="940" t="s">
        <v>352</v>
      </c>
      <c r="F47" s="580" t="s">
        <v>353</v>
      </c>
      <c r="G47" s="936" t="s">
        <v>306</v>
      </c>
      <c r="H47" s="937" t="s">
        <v>453</v>
      </c>
      <c r="I47" s="941">
        <v>18</v>
      </c>
      <c r="J47" s="941"/>
      <c r="K47" s="178"/>
      <c r="L47" s="178"/>
      <c r="M47" s="202">
        <f t="shared" si="4"/>
        <v>18</v>
      </c>
      <c r="N47" s="942"/>
      <c r="O47" s="179" t="s">
        <v>409</v>
      </c>
      <c r="P47" s="221"/>
      <c r="Q47" s="218"/>
    </row>
    <row r="48" spans="2:17" s="922" customFormat="1" x14ac:dyDescent="0.25">
      <c r="B48" s="1085">
        <f>B47+1</f>
        <v>33</v>
      </c>
      <c r="C48" s="1070">
        <f>M48+M49+N48+N49</f>
        <v>99.61</v>
      </c>
      <c r="D48" s="1086">
        <v>44473</v>
      </c>
      <c r="E48" s="1084" t="s">
        <v>444</v>
      </c>
      <c r="F48" s="620" t="s">
        <v>351</v>
      </c>
      <c r="G48" s="1087" t="s">
        <v>306</v>
      </c>
      <c r="H48" s="1080" t="s">
        <v>295</v>
      </c>
      <c r="I48" s="939">
        <v>48.2</v>
      </c>
      <c r="J48" s="928"/>
      <c r="K48" s="939"/>
      <c r="L48" s="32"/>
      <c r="M48" s="201">
        <f t="shared" si="4"/>
        <v>48.2</v>
      </c>
      <c r="N48" s="943"/>
      <c r="O48" s="621" t="s">
        <v>407</v>
      </c>
    </row>
    <row r="49" spans="2:17" s="922" customFormat="1" x14ac:dyDescent="0.25">
      <c r="B49" s="1085"/>
      <c r="C49" s="1070"/>
      <c r="D49" s="1086"/>
      <c r="E49" s="1084"/>
      <c r="F49" s="923" t="s">
        <v>244</v>
      </c>
      <c r="G49" s="1087"/>
      <c r="H49" s="1080"/>
      <c r="I49" s="939">
        <v>51.41</v>
      </c>
      <c r="J49" s="928"/>
      <c r="K49" s="939"/>
      <c r="L49" s="32"/>
      <c r="M49" s="201">
        <f t="shared" si="4"/>
        <v>51.41</v>
      </c>
      <c r="N49" s="943"/>
      <c r="O49" s="621" t="s">
        <v>406</v>
      </c>
    </row>
    <row r="50" spans="2:17" s="922" customFormat="1" ht="15.75" customHeight="1" x14ac:dyDescent="0.25">
      <c r="B50" s="933">
        <f>B47+1</f>
        <v>33</v>
      </c>
      <c r="C50" s="177">
        <f>SUM(M50:N50)</f>
        <v>-1100.68</v>
      </c>
      <c r="D50" s="935">
        <v>44475</v>
      </c>
      <c r="E50" s="940" t="s">
        <v>441</v>
      </c>
      <c r="F50" s="907" t="s">
        <v>443</v>
      </c>
      <c r="G50" s="936" t="s">
        <v>306</v>
      </c>
      <c r="H50" s="937" t="s">
        <v>309</v>
      </c>
      <c r="I50" s="913"/>
      <c r="J50" s="913">
        <v>-865.23</v>
      </c>
      <c r="K50" s="914"/>
      <c r="L50" s="914"/>
      <c r="M50" s="202">
        <f t="shared" ref="M50:M51" si="5">SUM(I50:L50)</f>
        <v>-865.23</v>
      </c>
      <c r="N50" s="915">
        <v>-235.45</v>
      </c>
      <c r="O50" s="179" t="s">
        <v>413</v>
      </c>
      <c r="P50" s="147"/>
      <c r="Q50" s="924"/>
    </row>
    <row r="51" spans="2:17" s="81" customFormat="1" ht="15.75" customHeight="1" x14ac:dyDescent="0.25">
      <c r="B51" s="932">
        <f>B48+1</f>
        <v>34</v>
      </c>
      <c r="C51" s="129">
        <f t="shared" ref="C51" si="6">SUM(M51:N51)</f>
        <v>49.99</v>
      </c>
      <c r="D51" s="930">
        <v>44472</v>
      </c>
      <c r="E51" s="938" t="s">
        <v>311</v>
      </c>
      <c r="F51" s="904" t="s">
        <v>578</v>
      </c>
      <c r="G51" s="931" t="s">
        <v>306</v>
      </c>
      <c r="H51" s="928" t="s">
        <v>483</v>
      </c>
      <c r="I51" s="369">
        <v>41.66</v>
      </c>
      <c r="J51" s="369"/>
      <c r="K51" s="370"/>
      <c r="L51" s="370"/>
      <c r="M51" s="201">
        <f t="shared" si="5"/>
        <v>41.66</v>
      </c>
      <c r="N51" s="371">
        <v>8.33</v>
      </c>
      <c r="O51" s="131" t="s">
        <v>412</v>
      </c>
      <c r="P51" s="221"/>
      <c r="Q51" s="218"/>
    </row>
    <row r="52" spans="2:17" s="81" customFormat="1" ht="15.75" customHeight="1" x14ac:dyDescent="0.25">
      <c r="B52" s="933">
        <f t="shared" ref="B52:B58" si="7">B51+1</f>
        <v>35</v>
      </c>
      <c r="C52" s="177">
        <f t="shared" ref="C52:C62" si="8">SUM(M52:N52)</f>
        <v>59.46</v>
      </c>
      <c r="D52" s="935">
        <v>44478</v>
      </c>
      <c r="E52" s="940" t="s">
        <v>311</v>
      </c>
      <c r="F52" s="907" t="s">
        <v>579</v>
      </c>
      <c r="G52" s="936" t="s">
        <v>306</v>
      </c>
      <c r="H52" s="937" t="s">
        <v>470</v>
      </c>
      <c r="I52" s="913">
        <v>59.46</v>
      </c>
      <c r="J52" s="913"/>
      <c r="K52" s="914"/>
      <c r="L52" s="914"/>
      <c r="M52" s="202">
        <f t="shared" si="4"/>
        <v>59.46</v>
      </c>
      <c r="N52" s="942"/>
      <c r="O52" s="179" t="s">
        <v>409</v>
      </c>
      <c r="P52" s="221"/>
      <c r="Q52" s="218"/>
    </row>
    <row r="53" spans="2:17" s="81" customFormat="1" ht="15.75" customHeight="1" x14ac:dyDescent="0.25">
      <c r="B53" s="932">
        <f t="shared" si="7"/>
        <v>36</v>
      </c>
      <c r="C53" s="929">
        <f t="shared" si="8"/>
        <v>52.93</v>
      </c>
      <c r="D53" s="930">
        <v>44490</v>
      </c>
      <c r="E53" s="938" t="s">
        <v>441</v>
      </c>
      <c r="F53" s="904" t="s">
        <v>443</v>
      </c>
      <c r="G53" s="931" t="s">
        <v>306</v>
      </c>
      <c r="H53" s="928" t="s">
        <v>309</v>
      </c>
      <c r="I53" s="369"/>
      <c r="J53" s="369">
        <v>50.42</v>
      </c>
      <c r="K53" s="370"/>
      <c r="L53" s="370"/>
      <c r="M53" s="201">
        <f t="shared" si="4"/>
        <v>50.42</v>
      </c>
      <c r="N53" s="371">
        <v>2.5099999999999998</v>
      </c>
      <c r="O53" s="131" t="s">
        <v>413</v>
      </c>
      <c r="P53" s="221"/>
      <c r="Q53" s="218"/>
    </row>
    <row r="54" spans="2:17" ht="15" customHeight="1" x14ac:dyDescent="0.25">
      <c r="B54" s="933">
        <f t="shared" si="7"/>
        <v>37</v>
      </c>
      <c r="C54" s="177">
        <f t="shared" si="8"/>
        <v>396.14</v>
      </c>
      <c r="D54" s="935">
        <v>44491</v>
      </c>
      <c r="E54" s="940" t="s">
        <v>441</v>
      </c>
      <c r="F54" s="907" t="s">
        <v>471</v>
      </c>
      <c r="G54" s="936" t="s">
        <v>306</v>
      </c>
      <c r="H54" s="937" t="s">
        <v>297</v>
      </c>
      <c r="I54" s="942"/>
      <c r="J54" s="942">
        <f>165.06*2</f>
        <v>330.12</v>
      </c>
      <c r="K54" s="178"/>
      <c r="L54" s="178"/>
      <c r="M54" s="202">
        <f t="shared" si="4"/>
        <v>330.12</v>
      </c>
      <c r="N54" s="942">
        <f>M54*20%</f>
        <v>66.02</v>
      </c>
      <c r="O54" s="179" t="s">
        <v>413</v>
      </c>
      <c r="P54" s="221"/>
    </row>
    <row r="55" spans="2:17" x14ac:dyDescent="0.25">
      <c r="B55" s="932">
        <f t="shared" si="7"/>
        <v>38</v>
      </c>
      <c r="C55" s="929">
        <f t="shared" si="8"/>
        <v>157.5</v>
      </c>
      <c r="D55" s="930">
        <v>44491</v>
      </c>
      <c r="E55" s="938" t="s">
        <v>441</v>
      </c>
      <c r="F55" s="906" t="s">
        <v>472</v>
      </c>
      <c r="G55" s="931" t="s">
        <v>306</v>
      </c>
      <c r="H55" s="928" t="s">
        <v>473</v>
      </c>
      <c r="I55" s="939"/>
      <c r="J55" s="939">
        <v>131.25</v>
      </c>
      <c r="K55" s="32"/>
      <c r="L55" s="32"/>
      <c r="M55" s="201">
        <f t="shared" si="4"/>
        <v>131.25</v>
      </c>
      <c r="N55" s="943">
        <f>M55*20%</f>
        <v>26.25</v>
      </c>
      <c r="O55" s="131" t="s">
        <v>415</v>
      </c>
      <c r="P55" s="221"/>
      <c r="Q55" s="218"/>
    </row>
    <row r="56" spans="2:17" x14ac:dyDescent="0.25">
      <c r="B56" s="373">
        <f t="shared" si="7"/>
        <v>39</v>
      </c>
      <c r="C56" s="177">
        <f t="shared" si="8"/>
        <v>360</v>
      </c>
      <c r="D56" s="935">
        <v>44491</v>
      </c>
      <c r="E56" s="940" t="s">
        <v>441</v>
      </c>
      <c r="F56" s="907" t="s">
        <v>474</v>
      </c>
      <c r="G56" s="936" t="s">
        <v>306</v>
      </c>
      <c r="H56" s="937" t="s">
        <v>360</v>
      </c>
      <c r="I56" s="362">
        <v>300</v>
      </c>
      <c r="J56" s="942"/>
      <c r="K56" s="178"/>
      <c r="L56" s="178"/>
      <c r="M56" s="202">
        <f t="shared" si="4"/>
        <v>300</v>
      </c>
      <c r="N56" s="942">
        <f>M56*20%</f>
        <v>60</v>
      </c>
      <c r="O56" s="179" t="s">
        <v>419</v>
      </c>
      <c r="P56" s="221"/>
    </row>
    <row r="57" spans="2:17" x14ac:dyDescent="0.25">
      <c r="B57" s="932">
        <f t="shared" si="7"/>
        <v>40</v>
      </c>
      <c r="C57" s="929">
        <f t="shared" si="8"/>
        <v>6487.2</v>
      </c>
      <c r="D57" s="930">
        <v>44491</v>
      </c>
      <c r="E57" s="938" t="s">
        <v>441</v>
      </c>
      <c r="F57" s="904" t="s">
        <v>476</v>
      </c>
      <c r="G57" s="931" t="s">
        <v>306</v>
      </c>
      <c r="H57" s="299" t="s">
        <v>475</v>
      </c>
      <c r="I57" s="943"/>
      <c r="J57" s="943">
        <v>5406</v>
      </c>
      <c r="K57" s="32"/>
      <c r="L57" s="32"/>
      <c r="M57" s="201">
        <f t="shared" si="4"/>
        <v>5406</v>
      </c>
      <c r="N57" s="943">
        <f>M57*20%</f>
        <v>1081.2</v>
      </c>
      <c r="O57" s="131" t="s">
        <v>415</v>
      </c>
      <c r="P57" s="221"/>
      <c r="Q57" s="218"/>
    </row>
    <row r="58" spans="2:17" x14ac:dyDescent="0.25">
      <c r="B58" s="933">
        <f t="shared" si="7"/>
        <v>41</v>
      </c>
      <c r="C58" s="177">
        <f t="shared" si="8"/>
        <v>81.900000000000006</v>
      </c>
      <c r="D58" s="935">
        <v>44491</v>
      </c>
      <c r="E58" s="940" t="s">
        <v>441</v>
      </c>
      <c r="F58" s="288" t="s">
        <v>477</v>
      </c>
      <c r="G58" s="936" t="s">
        <v>306</v>
      </c>
      <c r="H58" s="937" t="s">
        <v>343</v>
      </c>
      <c r="I58" s="942">
        <v>81.900000000000006</v>
      </c>
      <c r="J58" s="942"/>
      <c r="K58" s="178"/>
      <c r="L58" s="178"/>
      <c r="M58" s="202">
        <f t="shared" si="4"/>
        <v>81.900000000000006</v>
      </c>
      <c r="N58" s="202"/>
      <c r="O58" s="179" t="s">
        <v>410</v>
      </c>
      <c r="P58" s="221"/>
      <c r="Q58" s="218"/>
    </row>
    <row r="59" spans="2:17" x14ac:dyDescent="0.25">
      <c r="B59" s="932">
        <f t="shared" si="3"/>
        <v>42</v>
      </c>
      <c r="C59" s="925">
        <f t="shared" si="8"/>
        <v>1023.2</v>
      </c>
      <c r="D59" s="930">
        <v>44491</v>
      </c>
      <c r="E59" s="938" t="s">
        <v>441</v>
      </c>
      <c r="F59" s="246" t="s">
        <v>478</v>
      </c>
      <c r="G59" s="931" t="s">
        <v>306</v>
      </c>
      <c r="H59" s="928" t="s">
        <v>299</v>
      </c>
      <c r="I59" s="939">
        <v>1023.2</v>
      </c>
      <c r="J59" s="943"/>
      <c r="K59" s="32"/>
      <c r="L59" s="32"/>
      <c r="M59" s="201">
        <f t="shared" si="4"/>
        <v>1023.2</v>
      </c>
      <c r="N59" s="943"/>
      <c r="O59" s="131" t="s">
        <v>406</v>
      </c>
      <c r="P59" s="221"/>
      <c r="Q59" s="218"/>
    </row>
    <row r="60" spans="2:17" s="81" customFormat="1" ht="15.75" customHeight="1" x14ac:dyDescent="0.25">
      <c r="B60" s="373">
        <f t="shared" si="3"/>
        <v>43</v>
      </c>
      <c r="C60" s="177">
        <f t="shared" si="8"/>
        <v>1330</v>
      </c>
      <c r="D60" s="935">
        <v>44491</v>
      </c>
      <c r="E60" s="940" t="s">
        <v>441</v>
      </c>
      <c r="F60" s="907" t="s">
        <v>580</v>
      </c>
      <c r="G60" s="936" t="s">
        <v>306</v>
      </c>
      <c r="H60" s="937" t="s">
        <v>354</v>
      </c>
      <c r="I60" s="942"/>
      <c r="J60" s="942">
        <f>360+470+500</f>
        <v>1330</v>
      </c>
      <c r="K60" s="178"/>
      <c r="L60" s="178"/>
      <c r="M60" s="202">
        <f t="shared" si="4"/>
        <v>1330</v>
      </c>
      <c r="N60" s="942"/>
      <c r="O60" s="179" t="s">
        <v>415</v>
      </c>
      <c r="P60" s="221"/>
      <c r="Q60" s="218"/>
    </row>
    <row r="61" spans="2:17" s="81" customFormat="1" x14ac:dyDescent="0.25">
      <c r="B61" s="232">
        <f t="shared" si="3"/>
        <v>44</v>
      </c>
      <c r="C61" s="129">
        <f t="shared" si="8"/>
        <v>6000</v>
      </c>
      <c r="D61" s="930">
        <v>44491</v>
      </c>
      <c r="E61" s="938" t="s">
        <v>441</v>
      </c>
      <c r="F61" s="904" t="s">
        <v>479</v>
      </c>
      <c r="G61" s="931" t="s">
        <v>306</v>
      </c>
      <c r="H61" s="928" t="s">
        <v>480</v>
      </c>
      <c r="I61" s="372"/>
      <c r="J61" s="201">
        <v>5000</v>
      </c>
      <c r="K61" s="32"/>
      <c r="L61" s="32"/>
      <c r="M61" s="201">
        <f t="shared" si="4"/>
        <v>5000</v>
      </c>
      <c r="N61" s="201">
        <f>M61*20%</f>
        <v>1000</v>
      </c>
      <c r="O61" s="131" t="s">
        <v>431</v>
      </c>
    </row>
    <row r="62" spans="2:17" s="81" customFormat="1" ht="15.75" customHeight="1" x14ac:dyDescent="0.25">
      <c r="B62" s="373">
        <f t="shared" si="3"/>
        <v>45</v>
      </c>
      <c r="C62" s="177">
        <f t="shared" si="8"/>
        <v>590.52</v>
      </c>
      <c r="D62" s="935">
        <v>44501</v>
      </c>
      <c r="E62" s="940" t="s">
        <v>441</v>
      </c>
      <c r="F62" s="288" t="s">
        <v>244</v>
      </c>
      <c r="G62" s="936" t="s">
        <v>306</v>
      </c>
      <c r="H62" s="937" t="s">
        <v>350</v>
      </c>
      <c r="I62" s="942">
        <v>590.52</v>
      </c>
      <c r="J62" s="202"/>
      <c r="K62" s="178"/>
      <c r="L62" s="178"/>
      <c r="M62" s="202">
        <f t="shared" si="4"/>
        <v>590.52</v>
      </c>
      <c r="N62" s="202"/>
      <c r="O62" s="179" t="s">
        <v>406</v>
      </c>
      <c r="P62" s="221"/>
      <c r="Q62" s="218"/>
    </row>
    <row r="63" spans="2:17" s="81" customFormat="1" x14ac:dyDescent="0.25">
      <c r="B63" s="1068">
        <f>B62+1</f>
        <v>46</v>
      </c>
      <c r="C63" s="1070">
        <f>M63+M64+N63+N64</f>
        <v>99.61</v>
      </c>
      <c r="D63" s="1071">
        <v>44509</v>
      </c>
      <c r="E63" s="1084" t="s">
        <v>444</v>
      </c>
      <c r="F63" s="620" t="s">
        <v>351</v>
      </c>
      <c r="G63" s="1073" t="s">
        <v>306</v>
      </c>
      <c r="H63" s="1080" t="s">
        <v>295</v>
      </c>
      <c r="I63" s="939">
        <v>48.2</v>
      </c>
      <c r="J63" s="928"/>
      <c r="K63" s="939"/>
      <c r="L63" s="32"/>
      <c r="M63" s="201">
        <f t="shared" ref="M63:M64" si="9">SUM(I63:L63)</f>
        <v>48.2</v>
      </c>
      <c r="N63" s="943"/>
      <c r="O63" s="621" t="s">
        <v>407</v>
      </c>
    </row>
    <row r="64" spans="2:17" s="81" customFormat="1" x14ac:dyDescent="0.25">
      <c r="B64" s="1068"/>
      <c r="C64" s="1070"/>
      <c r="D64" s="1071"/>
      <c r="E64" s="1084"/>
      <c r="F64" s="622" t="s">
        <v>244</v>
      </c>
      <c r="G64" s="1073"/>
      <c r="H64" s="1080"/>
      <c r="I64" s="939">
        <v>51.41</v>
      </c>
      <c r="J64" s="928"/>
      <c r="K64" s="939"/>
      <c r="L64" s="32"/>
      <c r="M64" s="201">
        <f t="shared" si="9"/>
        <v>51.41</v>
      </c>
      <c r="N64" s="943"/>
      <c r="O64" s="621" t="s">
        <v>406</v>
      </c>
    </row>
    <row r="65" spans="2:17" s="81" customFormat="1" x14ac:dyDescent="0.25">
      <c r="B65" s="373">
        <f>B63+1</f>
        <v>47</v>
      </c>
      <c r="C65" s="177">
        <f t="shared" ref="C65:C81" si="10">SUM(M65:N65)</f>
        <v>54.38</v>
      </c>
      <c r="D65" s="935">
        <v>44519</v>
      </c>
      <c r="E65" s="940" t="s">
        <v>294</v>
      </c>
      <c r="F65" s="907" t="s">
        <v>443</v>
      </c>
      <c r="G65" s="936" t="s">
        <v>306</v>
      </c>
      <c r="H65" s="937" t="s">
        <v>309</v>
      </c>
      <c r="I65" s="362"/>
      <c r="J65" s="202">
        <v>51.8</v>
      </c>
      <c r="K65" s="178"/>
      <c r="L65" s="178"/>
      <c r="M65" s="202">
        <f t="shared" si="4"/>
        <v>51.8</v>
      </c>
      <c r="N65" s="202">
        <v>2.58</v>
      </c>
      <c r="O65" s="179" t="s">
        <v>413</v>
      </c>
    </row>
    <row r="66" spans="2:17" s="81" customFormat="1" x14ac:dyDescent="0.25">
      <c r="B66" s="932">
        <f>B65+1</f>
        <v>48</v>
      </c>
      <c r="C66" s="129">
        <f>SUM(M66:N66)</f>
        <v>590.52</v>
      </c>
      <c r="D66" s="930">
        <v>44530</v>
      </c>
      <c r="E66" s="938" t="s">
        <v>305</v>
      </c>
      <c r="F66" s="299" t="s">
        <v>244</v>
      </c>
      <c r="G66" s="931" t="s">
        <v>306</v>
      </c>
      <c r="H66" s="928" t="s">
        <v>350</v>
      </c>
      <c r="I66" s="372">
        <v>590.52</v>
      </c>
      <c r="J66" s="943"/>
      <c r="K66" s="32"/>
      <c r="L66" s="32"/>
      <c r="M66" s="201">
        <f t="shared" ref="M66:M68" si="11">SUM(I66:L66)</f>
        <v>590.52</v>
      </c>
      <c r="N66" s="943"/>
      <c r="O66" s="131" t="s">
        <v>406</v>
      </c>
      <c r="P66" s="221"/>
    </row>
    <row r="67" spans="2:17" x14ac:dyDescent="0.25">
      <c r="B67" s="1075">
        <f t="shared" si="3"/>
        <v>49</v>
      </c>
      <c r="C67" s="1076">
        <f>M67+M68+N67+N68</f>
        <v>99.61</v>
      </c>
      <c r="D67" s="1077">
        <v>44539</v>
      </c>
      <c r="E67" s="1079" t="s">
        <v>444</v>
      </c>
      <c r="F67" s="245" t="s">
        <v>351</v>
      </c>
      <c r="G67" s="1078" t="s">
        <v>306</v>
      </c>
      <c r="H67" s="1074" t="s">
        <v>295</v>
      </c>
      <c r="I67" s="946">
        <v>48.2</v>
      </c>
      <c r="J67" s="946"/>
      <c r="K67" s="178"/>
      <c r="L67" s="178"/>
      <c r="M67" s="202">
        <f t="shared" si="11"/>
        <v>48.2</v>
      </c>
      <c r="N67" s="202"/>
      <c r="O67" s="179" t="s">
        <v>407</v>
      </c>
      <c r="P67" s="221"/>
    </row>
    <row r="68" spans="2:17" x14ac:dyDescent="0.25">
      <c r="B68" s="1075"/>
      <c r="C68" s="1076"/>
      <c r="D68" s="1077"/>
      <c r="E68" s="1079"/>
      <c r="F68" s="245" t="s">
        <v>244</v>
      </c>
      <c r="G68" s="1078"/>
      <c r="H68" s="1074"/>
      <c r="I68" s="946">
        <v>51.41</v>
      </c>
      <c r="J68" s="946"/>
      <c r="K68" s="178"/>
      <c r="L68" s="178"/>
      <c r="M68" s="202">
        <f t="shared" si="11"/>
        <v>51.41</v>
      </c>
      <c r="N68" s="947"/>
      <c r="O68" s="179" t="s">
        <v>406</v>
      </c>
      <c r="P68" s="221"/>
    </row>
    <row r="69" spans="2:17" x14ac:dyDescent="0.25">
      <c r="B69" s="232">
        <f>B66+1</f>
        <v>49</v>
      </c>
      <c r="C69" s="129">
        <f t="shared" si="10"/>
        <v>13.48</v>
      </c>
      <c r="D69" s="1024">
        <v>44545</v>
      </c>
      <c r="E69" s="1025" t="s">
        <v>631</v>
      </c>
      <c r="F69" s="246" t="s">
        <v>396</v>
      </c>
      <c r="G69" s="1026" t="s">
        <v>306</v>
      </c>
      <c r="H69" s="1028" t="s">
        <v>524</v>
      </c>
      <c r="I69" s="1030"/>
      <c r="J69" s="1027">
        <v>11.23</v>
      </c>
      <c r="K69" s="32"/>
      <c r="L69" s="32"/>
      <c r="M69" s="201">
        <f t="shared" ref="M69" si="12">SUM(I69:L69)</f>
        <v>11.23</v>
      </c>
      <c r="N69" s="201">
        <f>M69*20%</f>
        <v>2.25</v>
      </c>
      <c r="O69" s="131" t="s">
        <v>413</v>
      </c>
      <c r="P69" s="221"/>
    </row>
    <row r="70" spans="2:17" s="81" customFormat="1" x14ac:dyDescent="0.25">
      <c r="B70" s="373">
        <f>B67+1</f>
        <v>50</v>
      </c>
      <c r="C70" s="177">
        <f t="shared" si="10"/>
        <v>52.78</v>
      </c>
      <c r="D70" s="1020">
        <v>44550</v>
      </c>
      <c r="E70" s="1021" t="s">
        <v>444</v>
      </c>
      <c r="F70" s="907" t="s">
        <v>443</v>
      </c>
      <c r="G70" s="1022" t="s">
        <v>306</v>
      </c>
      <c r="H70" s="1023" t="s">
        <v>309</v>
      </c>
      <c r="I70" s="362"/>
      <c r="J70" s="976">
        <v>50.28</v>
      </c>
      <c r="K70" s="178"/>
      <c r="L70" s="178"/>
      <c r="M70" s="202">
        <f t="shared" si="4"/>
        <v>50.28</v>
      </c>
      <c r="N70" s="976">
        <v>2.5</v>
      </c>
      <c r="O70" s="179" t="s">
        <v>413</v>
      </c>
    </row>
    <row r="71" spans="2:17" s="81" customFormat="1" x14ac:dyDescent="0.25">
      <c r="B71" s="232">
        <f>B70+1</f>
        <v>51</v>
      </c>
      <c r="C71" s="129">
        <f t="shared" si="10"/>
        <v>717.6</v>
      </c>
      <c r="D71" s="1024">
        <v>44552</v>
      </c>
      <c r="E71" s="1025" t="s">
        <v>441</v>
      </c>
      <c r="F71" s="904" t="s">
        <v>489</v>
      </c>
      <c r="G71" s="1026" t="s">
        <v>306</v>
      </c>
      <c r="H71" s="1028" t="s">
        <v>490</v>
      </c>
      <c r="I71" s="372"/>
      <c r="J71" s="201">
        <v>598</v>
      </c>
      <c r="K71" s="32"/>
      <c r="L71" s="32"/>
      <c r="M71" s="201">
        <f t="shared" si="4"/>
        <v>598</v>
      </c>
      <c r="N71" s="201">
        <f>M71*20%</f>
        <v>119.6</v>
      </c>
      <c r="O71" s="131" t="s">
        <v>415</v>
      </c>
    </row>
    <row r="72" spans="2:17" x14ac:dyDescent="0.25">
      <c r="B72" s="1075">
        <f>B71+1</f>
        <v>52</v>
      </c>
      <c r="C72" s="1076">
        <f>M72+M73+N72+N73</f>
        <v>510</v>
      </c>
      <c r="D72" s="1077">
        <v>44552</v>
      </c>
      <c r="E72" s="1079" t="s">
        <v>441</v>
      </c>
      <c r="F72" s="907" t="s">
        <v>454</v>
      </c>
      <c r="G72" s="1078" t="s">
        <v>306</v>
      </c>
      <c r="H72" s="1083" t="s">
        <v>354</v>
      </c>
      <c r="I72" s="976"/>
      <c r="J72" s="976">
        <v>250</v>
      </c>
      <c r="K72" s="178"/>
      <c r="L72" s="178"/>
      <c r="M72" s="202">
        <f t="shared" ref="M72:M75" si="13">SUM(I72:L72)</f>
        <v>250</v>
      </c>
      <c r="N72" s="976"/>
      <c r="O72" s="179" t="s">
        <v>427</v>
      </c>
      <c r="P72" s="221"/>
    </row>
    <row r="73" spans="2:17" x14ac:dyDescent="0.25">
      <c r="B73" s="1075"/>
      <c r="C73" s="1076"/>
      <c r="D73" s="1077"/>
      <c r="E73" s="1079"/>
      <c r="F73" s="907" t="s">
        <v>455</v>
      </c>
      <c r="G73" s="1078"/>
      <c r="H73" s="1083"/>
      <c r="I73" s="976"/>
      <c r="J73" s="976">
        <v>260</v>
      </c>
      <c r="K73" s="178"/>
      <c r="L73" s="178"/>
      <c r="M73" s="202">
        <f t="shared" si="13"/>
        <v>260</v>
      </c>
      <c r="N73" s="976"/>
      <c r="O73" s="179" t="s">
        <v>415</v>
      </c>
      <c r="P73" s="221"/>
    </row>
    <row r="74" spans="2:17" x14ac:dyDescent="0.25">
      <c r="B74" s="1068">
        <f>B72+1</f>
        <v>53</v>
      </c>
      <c r="C74" s="1070">
        <f>M74+M75+N74+N75</f>
        <v>890</v>
      </c>
      <c r="D74" s="1071">
        <v>44552</v>
      </c>
      <c r="E74" s="1072" t="s">
        <v>441</v>
      </c>
      <c r="F74" s="904" t="s">
        <v>492</v>
      </c>
      <c r="G74" s="1073" t="s">
        <v>306</v>
      </c>
      <c r="H74" s="1069" t="s">
        <v>354</v>
      </c>
      <c r="I74" s="977"/>
      <c r="J74" s="977">
        <v>500</v>
      </c>
      <c r="K74" s="32"/>
      <c r="L74" s="32"/>
      <c r="M74" s="201">
        <f t="shared" si="13"/>
        <v>500</v>
      </c>
      <c r="N74" s="977"/>
      <c r="O74" s="131" t="s">
        <v>427</v>
      </c>
      <c r="P74" s="221"/>
      <c r="Q74" s="218"/>
    </row>
    <row r="75" spans="2:17" x14ac:dyDescent="0.25">
      <c r="B75" s="1068"/>
      <c r="C75" s="1070"/>
      <c r="D75" s="1071"/>
      <c r="E75" s="1072"/>
      <c r="F75" s="904" t="s">
        <v>491</v>
      </c>
      <c r="G75" s="1073"/>
      <c r="H75" s="1069"/>
      <c r="I75" s="977"/>
      <c r="J75" s="977">
        <f>110*3+60</f>
        <v>390</v>
      </c>
      <c r="K75" s="32"/>
      <c r="L75" s="32"/>
      <c r="M75" s="201">
        <f t="shared" si="13"/>
        <v>390</v>
      </c>
      <c r="N75" s="977"/>
      <c r="O75" s="131" t="s">
        <v>415</v>
      </c>
      <c r="P75" s="221"/>
      <c r="Q75" s="218"/>
    </row>
    <row r="76" spans="2:17" s="81" customFormat="1" x14ac:dyDescent="0.25">
      <c r="B76" s="1018">
        <f>B74+1</f>
        <v>54</v>
      </c>
      <c r="C76" s="1019">
        <f t="shared" si="10"/>
        <v>26.6</v>
      </c>
      <c r="D76" s="1020">
        <v>44552</v>
      </c>
      <c r="E76" s="1021" t="s">
        <v>441</v>
      </c>
      <c r="F76" s="907" t="s">
        <v>246</v>
      </c>
      <c r="G76" s="1022" t="s">
        <v>306</v>
      </c>
      <c r="H76" s="1023" t="s">
        <v>296</v>
      </c>
      <c r="I76" s="976"/>
      <c r="J76" s="976">
        <v>26.6</v>
      </c>
      <c r="K76" s="178"/>
      <c r="L76" s="178"/>
      <c r="M76" s="202">
        <f t="shared" si="4"/>
        <v>26.6</v>
      </c>
      <c r="N76" s="976"/>
      <c r="O76" s="179" t="s">
        <v>411</v>
      </c>
    </row>
    <row r="77" spans="2:17" s="81" customFormat="1" x14ac:dyDescent="0.25">
      <c r="B77" s="232">
        <f>B76+1</f>
        <v>55</v>
      </c>
      <c r="C77" s="129">
        <f t="shared" si="10"/>
        <v>3000</v>
      </c>
      <c r="D77" s="1024">
        <v>44552</v>
      </c>
      <c r="E77" s="1025" t="s">
        <v>441</v>
      </c>
      <c r="F77" s="904" t="s">
        <v>479</v>
      </c>
      <c r="G77" s="1026" t="s">
        <v>306</v>
      </c>
      <c r="H77" s="1028" t="s">
        <v>480</v>
      </c>
      <c r="I77" s="372"/>
      <c r="J77" s="201">
        <v>2500</v>
      </c>
      <c r="K77" s="32"/>
      <c r="L77" s="32"/>
      <c r="M77" s="201">
        <f t="shared" ref="M77:M127" si="14">SUM(I77:L77)</f>
        <v>2500</v>
      </c>
      <c r="N77" s="201">
        <f>M77*20%</f>
        <v>500</v>
      </c>
      <c r="O77" s="131" t="s">
        <v>431</v>
      </c>
    </row>
    <row r="78" spans="2:17" s="81" customFormat="1" x14ac:dyDescent="0.25">
      <c r="B78" s="1018">
        <f>B77+1</f>
        <v>56</v>
      </c>
      <c r="C78" s="1019">
        <f t="shared" si="10"/>
        <v>2200</v>
      </c>
      <c r="D78" s="1020">
        <v>44552</v>
      </c>
      <c r="E78" s="1021" t="s">
        <v>441</v>
      </c>
      <c r="F78" s="288" t="s">
        <v>493</v>
      </c>
      <c r="G78" s="1022" t="s">
        <v>306</v>
      </c>
      <c r="H78" s="1023" t="s">
        <v>494</v>
      </c>
      <c r="I78" s="976"/>
      <c r="J78" s="976">
        <v>2200</v>
      </c>
      <c r="K78" s="178"/>
      <c r="L78" s="178"/>
      <c r="M78" s="202">
        <f t="shared" si="14"/>
        <v>2200</v>
      </c>
      <c r="N78" s="976"/>
      <c r="O78" s="179" t="s">
        <v>416</v>
      </c>
    </row>
    <row r="79" spans="2:17" s="81" customFormat="1" x14ac:dyDescent="0.25">
      <c r="B79" s="232">
        <f t="shared" si="3"/>
        <v>57</v>
      </c>
      <c r="C79" s="129">
        <f t="shared" si="10"/>
        <v>114.76</v>
      </c>
      <c r="D79" s="1024">
        <v>44552</v>
      </c>
      <c r="E79" s="1025" t="s">
        <v>441</v>
      </c>
      <c r="F79" s="904" t="s">
        <v>581</v>
      </c>
      <c r="G79" s="1026" t="s">
        <v>306</v>
      </c>
      <c r="H79" s="1028" t="s">
        <v>359</v>
      </c>
      <c r="I79" s="372"/>
      <c r="J79" s="201">
        <v>114.76</v>
      </c>
      <c r="K79" s="32"/>
      <c r="L79" s="32"/>
      <c r="M79" s="201">
        <f t="shared" si="14"/>
        <v>114.76</v>
      </c>
      <c r="N79" s="201"/>
      <c r="O79" s="131" t="s">
        <v>429</v>
      </c>
    </row>
    <row r="80" spans="2:17" ht="15" customHeight="1" x14ac:dyDescent="0.25">
      <c r="B80" s="1018">
        <f>B79+1</f>
        <v>58</v>
      </c>
      <c r="C80" s="177">
        <f t="shared" si="10"/>
        <v>590.52</v>
      </c>
      <c r="D80" s="1020">
        <v>44561</v>
      </c>
      <c r="E80" s="1021" t="s">
        <v>305</v>
      </c>
      <c r="F80" s="288" t="s">
        <v>244</v>
      </c>
      <c r="G80" s="1022" t="s">
        <v>306</v>
      </c>
      <c r="H80" s="1023" t="s">
        <v>350</v>
      </c>
      <c r="I80" s="362">
        <v>590.52</v>
      </c>
      <c r="J80" s="976"/>
      <c r="K80" s="178"/>
      <c r="L80" s="178"/>
      <c r="M80" s="202">
        <f t="shared" si="14"/>
        <v>590.52</v>
      </c>
      <c r="N80" s="976"/>
      <c r="O80" s="179" t="s">
        <v>406</v>
      </c>
      <c r="P80" s="221"/>
    </row>
    <row r="81" spans="2:17" x14ac:dyDescent="0.25">
      <c r="B81" s="1016">
        <f>B80+1</f>
        <v>59</v>
      </c>
      <c r="C81" s="129">
        <f t="shared" si="10"/>
        <v>18</v>
      </c>
      <c r="D81" s="1024">
        <v>44561</v>
      </c>
      <c r="E81" s="1025" t="s">
        <v>495</v>
      </c>
      <c r="F81" s="299" t="s">
        <v>353</v>
      </c>
      <c r="G81" s="1026" t="s">
        <v>306</v>
      </c>
      <c r="H81" s="1028" t="s">
        <v>453</v>
      </c>
      <c r="I81" s="977">
        <v>18</v>
      </c>
      <c r="J81" s="977"/>
      <c r="K81" s="32"/>
      <c r="L81" s="32"/>
      <c r="M81" s="201">
        <f t="shared" si="14"/>
        <v>18</v>
      </c>
      <c r="N81" s="977"/>
      <c r="O81" s="131" t="s">
        <v>409</v>
      </c>
      <c r="P81" s="221"/>
      <c r="Q81" s="218"/>
    </row>
    <row r="82" spans="2:17" x14ac:dyDescent="0.25">
      <c r="B82" s="1075">
        <f t="shared" ref="B82" si="15">B81+1</f>
        <v>60</v>
      </c>
      <c r="C82" s="1076">
        <f>M82+M83+N82+N83</f>
        <v>99.61</v>
      </c>
      <c r="D82" s="1077">
        <v>44568</v>
      </c>
      <c r="E82" s="1079" t="s">
        <v>444</v>
      </c>
      <c r="F82" s="245" t="s">
        <v>351</v>
      </c>
      <c r="G82" s="1078" t="s">
        <v>306</v>
      </c>
      <c r="H82" s="1074" t="s">
        <v>295</v>
      </c>
      <c r="I82" s="1017">
        <v>48.2</v>
      </c>
      <c r="J82" s="1017"/>
      <c r="K82" s="178"/>
      <c r="L82" s="178"/>
      <c r="M82" s="202">
        <f t="shared" ref="M82:M83" si="16">SUM(I82:L82)</f>
        <v>48.2</v>
      </c>
      <c r="N82" s="202"/>
      <c r="O82" s="179" t="s">
        <v>407</v>
      </c>
      <c r="P82" s="221"/>
    </row>
    <row r="83" spans="2:17" x14ac:dyDescent="0.25">
      <c r="B83" s="1075"/>
      <c r="C83" s="1076"/>
      <c r="D83" s="1077"/>
      <c r="E83" s="1079"/>
      <c r="F83" s="245" t="s">
        <v>244</v>
      </c>
      <c r="G83" s="1078"/>
      <c r="H83" s="1074"/>
      <c r="I83" s="1017">
        <v>51.41</v>
      </c>
      <c r="J83" s="1017"/>
      <c r="K83" s="178"/>
      <c r="L83" s="178"/>
      <c r="M83" s="202">
        <f t="shared" si="16"/>
        <v>51.41</v>
      </c>
      <c r="N83" s="976"/>
      <c r="O83" s="179" t="s">
        <v>406</v>
      </c>
      <c r="P83" s="221"/>
    </row>
    <row r="84" spans="2:17" s="81" customFormat="1" ht="15.75" customHeight="1" x14ac:dyDescent="0.25">
      <c r="B84" s="232">
        <f>B82+1</f>
        <v>61</v>
      </c>
      <c r="C84" s="129">
        <f t="shared" ref="C84:C90" si="17">SUM(M84:N84)</f>
        <v>276.06</v>
      </c>
      <c r="D84" s="1024">
        <v>44580</v>
      </c>
      <c r="E84" s="1025" t="s">
        <v>441</v>
      </c>
      <c r="F84" s="906" t="s">
        <v>498</v>
      </c>
      <c r="G84" s="1026" t="s">
        <v>306</v>
      </c>
      <c r="H84" s="1028" t="s">
        <v>499</v>
      </c>
      <c r="I84" s="977"/>
      <c r="J84" s="201">
        <v>276.06</v>
      </c>
      <c r="K84" s="32"/>
      <c r="L84" s="32"/>
      <c r="M84" s="201">
        <f t="shared" si="14"/>
        <v>276.06</v>
      </c>
      <c r="N84" s="201"/>
      <c r="O84" s="131" t="s">
        <v>420</v>
      </c>
      <c r="P84" s="221"/>
      <c r="Q84" s="218"/>
    </row>
    <row r="85" spans="2:17" s="81" customFormat="1" ht="15.75" customHeight="1" x14ac:dyDescent="0.25">
      <c r="B85" s="1018">
        <f t="shared" ref="B85:B91" si="18">B84+1</f>
        <v>62</v>
      </c>
      <c r="C85" s="177">
        <f t="shared" si="17"/>
        <v>600</v>
      </c>
      <c r="D85" s="1020">
        <v>44580</v>
      </c>
      <c r="E85" s="1021" t="s">
        <v>441</v>
      </c>
      <c r="F85" s="288" t="s">
        <v>500</v>
      </c>
      <c r="G85" s="1022" t="s">
        <v>306</v>
      </c>
      <c r="H85" s="1023" t="s">
        <v>501</v>
      </c>
      <c r="I85" s="976"/>
      <c r="J85" s="976">
        <v>600</v>
      </c>
      <c r="K85" s="178"/>
      <c r="L85" s="178"/>
      <c r="M85" s="202">
        <f t="shared" si="14"/>
        <v>600</v>
      </c>
      <c r="N85" s="976"/>
      <c r="O85" s="179" t="s">
        <v>416</v>
      </c>
      <c r="P85" s="221"/>
      <c r="Q85" s="218"/>
    </row>
    <row r="86" spans="2:17" ht="15" customHeight="1" x14ac:dyDescent="0.25">
      <c r="B86" s="1016">
        <f t="shared" si="18"/>
        <v>63</v>
      </c>
      <c r="C86" s="129">
        <f t="shared" si="17"/>
        <v>427.2</v>
      </c>
      <c r="D86" s="1024">
        <v>44580</v>
      </c>
      <c r="E86" s="1025" t="s">
        <v>502</v>
      </c>
      <c r="F86" s="904" t="s">
        <v>489</v>
      </c>
      <c r="G86" s="1026" t="s">
        <v>306</v>
      </c>
      <c r="H86" s="1028" t="s">
        <v>490</v>
      </c>
      <c r="I86" s="372"/>
      <c r="J86" s="977">
        <v>356</v>
      </c>
      <c r="K86" s="32"/>
      <c r="L86" s="32"/>
      <c r="M86" s="201">
        <f t="shared" si="14"/>
        <v>356</v>
      </c>
      <c r="N86" s="977">
        <f>M86*20%</f>
        <v>71.2</v>
      </c>
      <c r="O86" s="131" t="s">
        <v>415</v>
      </c>
      <c r="P86" s="221"/>
    </row>
    <row r="87" spans="2:17" x14ac:dyDescent="0.25">
      <c r="B87" s="1018">
        <f t="shared" si="18"/>
        <v>64</v>
      </c>
      <c r="C87" s="177">
        <f t="shared" si="17"/>
        <v>511.7</v>
      </c>
      <c r="D87" s="1020">
        <v>44580</v>
      </c>
      <c r="E87" s="1021" t="s">
        <v>441</v>
      </c>
      <c r="F87" s="374" t="s">
        <v>503</v>
      </c>
      <c r="G87" s="1022" t="s">
        <v>306</v>
      </c>
      <c r="H87" s="1023" t="s">
        <v>299</v>
      </c>
      <c r="I87" s="1017">
        <v>511.7</v>
      </c>
      <c r="J87" s="1023"/>
      <c r="K87" s="1017"/>
      <c r="L87" s="178"/>
      <c r="M87" s="202">
        <f t="shared" si="14"/>
        <v>511.7</v>
      </c>
      <c r="N87" s="976"/>
      <c r="O87" s="375" t="s">
        <v>406</v>
      </c>
      <c r="P87" s="221"/>
    </row>
    <row r="88" spans="2:17" s="81" customFormat="1" x14ac:dyDescent="0.25">
      <c r="B88" s="1016">
        <f t="shared" si="18"/>
        <v>65</v>
      </c>
      <c r="C88" s="129">
        <f t="shared" si="17"/>
        <v>275</v>
      </c>
      <c r="D88" s="1024">
        <v>44580</v>
      </c>
      <c r="E88" s="1025" t="s">
        <v>441</v>
      </c>
      <c r="F88" s="904" t="s">
        <v>504</v>
      </c>
      <c r="G88" s="1026" t="s">
        <v>306</v>
      </c>
      <c r="H88" s="1028" t="s">
        <v>505</v>
      </c>
      <c r="I88" s="977"/>
      <c r="J88" s="977">
        <v>275</v>
      </c>
      <c r="K88" s="32"/>
      <c r="L88" s="32"/>
      <c r="M88" s="201">
        <f t="shared" si="14"/>
        <v>275</v>
      </c>
      <c r="N88" s="977"/>
      <c r="O88" s="131" t="s">
        <v>414</v>
      </c>
      <c r="P88" s="221"/>
    </row>
    <row r="89" spans="2:17" s="81" customFormat="1" x14ac:dyDescent="0.25">
      <c r="B89" s="1018">
        <f t="shared" si="18"/>
        <v>66</v>
      </c>
      <c r="C89" s="684">
        <f t="shared" si="17"/>
        <v>1800</v>
      </c>
      <c r="D89" s="1020">
        <v>44580</v>
      </c>
      <c r="E89" s="1021" t="s">
        <v>441</v>
      </c>
      <c r="F89" s="907" t="s">
        <v>479</v>
      </c>
      <c r="G89" s="1022" t="s">
        <v>306</v>
      </c>
      <c r="H89" s="1023" t="s">
        <v>480</v>
      </c>
      <c r="I89" s="976"/>
      <c r="J89" s="976">
        <v>1500</v>
      </c>
      <c r="K89" s="178"/>
      <c r="L89" s="178"/>
      <c r="M89" s="202">
        <f t="shared" si="14"/>
        <v>1500</v>
      </c>
      <c r="N89" s="976">
        <f>M89*20%</f>
        <v>300</v>
      </c>
      <c r="O89" s="179" t="s">
        <v>431</v>
      </c>
    </row>
    <row r="90" spans="2:17" s="81" customFormat="1" x14ac:dyDescent="0.25">
      <c r="B90" s="232">
        <f t="shared" si="18"/>
        <v>67</v>
      </c>
      <c r="C90" s="585">
        <f t="shared" si="17"/>
        <v>59.16</v>
      </c>
      <c r="D90" s="1024">
        <v>44585</v>
      </c>
      <c r="E90" s="1025" t="s">
        <v>444</v>
      </c>
      <c r="F90" s="906" t="s">
        <v>443</v>
      </c>
      <c r="G90" s="1026" t="s">
        <v>306</v>
      </c>
      <c r="H90" s="1028" t="s">
        <v>309</v>
      </c>
      <c r="I90" s="1027"/>
      <c r="J90" s="1027">
        <v>56.35</v>
      </c>
      <c r="K90" s="32"/>
      <c r="L90" s="32"/>
      <c r="M90" s="201">
        <f t="shared" si="14"/>
        <v>56.35</v>
      </c>
      <c r="N90" s="977">
        <v>2.81</v>
      </c>
      <c r="O90" s="131" t="s">
        <v>413</v>
      </c>
    </row>
    <row r="91" spans="2:17" s="81" customFormat="1" x14ac:dyDescent="0.25">
      <c r="B91" s="1018">
        <f t="shared" si="18"/>
        <v>68</v>
      </c>
      <c r="C91" s="684">
        <f t="shared" ref="C91" si="19">SUM(M91:N91)</f>
        <v>54.42</v>
      </c>
      <c r="D91" s="1020">
        <v>44586</v>
      </c>
      <c r="E91" s="1021" t="s">
        <v>630</v>
      </c>
      <c r="F91" s="1031" t="s">
        <v>632</v>
      </c>
      <c r="G91" s="1022" t="s">
        <v>306</v>
      </c>
      <c r="H91" s="1023" t="s">
        <v>633</v>
      </c>
      <c r="I91" s="976"/>
      <c r="J91" s="976">
        <v>54.42</v>
      </c>
      <c r="K91" s="178"/>
      <c r="L91" s="178"/>
      <c r="M91" s="202">
        <f t="shared" ref="M91" si="20">SUM(I91:L91)</f>
        <v>54.42</v>
      </c>
      <c r="N91" s="976"/>
      <c r="O91" s="179" t="s">
        <v>422</v>
      </c>
    </row>
    <row r="92" spans="2:17" s="81" customFormat="1" x14ac:dyDescent="0.25">
      <c r="B92" s="932">
        <f>B91+1</f>
        <v>69</v>
      </c>
      <c r="C92" s="585">
        <f t="shared" ref="C92:C127" si="21">SUM(M92:N92)</f>
        <v>590.52</v>
      </c>
      <c r="D92" s="930">
        <v>44592</v>
      </c>
      <c r="E92" s="938" t="s">
        <v>305</v>
      </c>
      <c r="F92" s="582" t="s">
        <v>244</v>
      </c>
      <c r="G92" s="948" t="s">
        <v>306</v>
      </c>
      <c r="H92" s="928" t="s">
        <v>350</v>
      </c>
      <c r="I92" s="943">
        <v>590.52</v>
      </c>
      <c r="J92" s="943"/>
      <c r="K92" s="32"/>
      <c r="L92" s="32"/>
      <c r="M92" s="201">
        <f t="shared" si="14"/>
        <v>590.52</v>
      </c>
      <c r="N92" s="943"/>
      <c r="O92" s="131" t="s">
        <v>406</v>
      </c>
    </row>
    <row r="93" spans="2:17" x14ac:dyDescent="0.25">
      <c r="B93" s="1075">
        <f t="shared" ref="B93:B97" si="22">B92+1</f>
        <v>70</v>
      </c>
      <c r="C93" s="1076">
        <f>M93+M94+N93+N94</f>
        <v>99.61</v>
      </c>
      <c r="D93" s="1077">
        <v>44601</v>
      </c>
      <c r="E93" s="1079" t="s">
        <v>444</v>
      </c>
      <c r="F93" s="245" t="s">
        <v>351</v>
      </c>
      <c r="G93" s="1078" t="s">
        <v>306</v>
      </c>
      <c r="H93" s="1074" t="s">
        <v>295</v>
      </c>
      <c r="I93" s="954">
        <v>48.2</v>
      </c>
      <c r="J93" s="954"/>
      <c r="K93" s="178"/>
      <c r="L93" s="178"/>
      <c r="M93" s="202">
        <f t="shared" ref="M93:M94" si="23">SUM(I93:L93)</f>
        <v>48.2</v>
      </c>
      <c r="N93" s="202"/>
      <c r="O93" s="179" t="s">
        <v>407</v>
      </c>
      <c r="P93" s="221"/>
    </row>
    <row r="94" spans="2:17" x14ac:dyDescent="0.25">
      <c r="B94" s="1075"/>
      <c r="C94" s="1076"/>
      <c r="D94" s="1077"/>
      <c r="E94" s="1079"/>
      <c r="F94" s="245" t="s">
        <v>244</v>
      </c>
      <c r="G94" s="1078"/>
      <c r="H94" s="1074"/>
      <c r="I94" s="954">
        <v>51.41</v>
      </c>
      <c r="J94" s="954"/>
      <c r="K94" s="178"/>
      <c r="L94" s="178"/>
      <c r="M94" s="202">
        <f t="shared" si="23"/>
        <v>51.41</v>
      </c>
      <c r="N94" s="955"/>
      <c r="O94" s="179" t="s">
        <v>406</v>
      </c>
      <c r="P94" s="221"/>
    </row>
    <row r="95" spans="2:17" s="81" customFormat="1" x14ac:dyDescent="0.25">
      <c r="B95" s="232">
        <f>B93+1</f>
        <v>71</v>
      </c>
      <c r="C95" s="585">
        <f t="shared" si="21"/>
        <v>49.74</v>
      </c>
      <c r="D95" s="930">
        <v>44613</v>
      </c>
      <c r="E95" s="928" t="s">
        <v>294</v>
      </c>
      <c r="F95" s="904" t="s">
        <v>443</v>
      </c>
      <c r="G95" s="948" t="s">
        <v>306</v>
      </c>
      <c r="H95" s="928" t="s">
        <v>506</v>
      </c>
      <c r="I95" s="372"/>
      <c r="J95" s="943">
        <v>47.38</v>
      </c>
      <c r="K95" s="32"/>
      <c r="L95" s="32"/>
      <c r="M95" s="201">
        <f t="shared" si="14"/>
        <v>47.38</v>
      </c>
      <c r="N95" s="943">
        <v>2.36</v>
      </c>
      <c r="O95" s="131" t="s">
        <v>413</v>
      </c>
    </row>
    <row r="96" spans="2:17" s="81" customFormat="1" x14ac:dyDescent="0.25">
      <c r="B96" s="933">
        <f t="shared" si="22"/>
        <v>72</v>
      </c>
      <c r="C96" s="684">
        <f t="shared" si="21"/>
        <v>18.66</v>
      </c>
      <c r="D96" s="935">
        <v>44613</v>
      </c>
      <c r="E96" s="940" t="s">
        <v>441</v>
      </c>
      <c r="F96" s="905" t="s">
        <v>507</v>
      </c>
      <c r="G96" s="950" t="s">
        <v>306</v>
      </c>
      <c r="H96" s="937" t="s">
        <v>508</v>
      </c>
      <c r="I96" s="941"/>
      <c r="J96" s="941">
        <v>15.55</v>
      </c>
      <c r="K96" s="178"/>
      <c r="L96" s="178"/>
      <c r="M96" s="202">
        <f t="shared" si="14"/>
        <v>15.55</v>
      </c>
      <c r="N96" s="942">
        <f>M96*20%</f>
        <v>3.11</v>
      </c>
      <c r="O96" s="179" t="s">
        <v>415</v>
      </c>
    </row>
    <row r="97" spans="2:20" s="81" customFormat="1" x14ac:dyDescent="0.25">
      <c r="B97" s="232">
        <f t="shared" si="22"/>
        <v>73</v>
      </c>
      <c r="C97" s="585">
        <f t="shared" si="21"/>
        <v>150</v>
      </c>
      <c r="D97" s="930">
        <v>44617</v>
      </c>
      <c r="E97" s="938" t="s">
        <v>441</v>
      </c>
      <c r="F97" s="906" t="s">
        <v>509</v>
      </c>
      <c r="G97" s="948" t="s">
        <v>306</v>
      </c>
      <c r="H97" s="928" t="s">
        <v>354</v>
      </c>
      <c r="I97" s="939"/>
      <c r="J97" s="939">
        <v>150</v>
      </c>
      <c r="K97" s="32"/>
      <c r="L97" s="32"/>
      <c r="M97" s="201">
        <f t="shared" si="14"/>
        <v>150</v>
      </c>
      <c r="N97" s="943"/>
      <c r="O97" s="131" t="s">
        <v>414</v>
      </c>
    </row>
    <row r="98" spans="2:20" ht="15" customHeight="1" x14ac:dyDescent="0.25">
      <c r="B98" s="373">
        <f t="shared" ref="B98:B104" si="24">B97+1</f>
        <v>74</v>
      </c>
      <c r="C98" s="684">
        <f t="shared" si="21"/>
        <v>750</v>
      </c>
      <c r="D98" s="935">
        <v>44617</v>
      </c>
      <c r="E98" s="940" t="s">
        <v>502</v>
      </c>
      <c r="F98" s="907" t="s">
        <v>513</v>
      </c>
      <c r="G98" s="950" t="s">
        <v>306</v>
      </c>
      <c r="H98" s="937" t="s">
        <v>510</v>
      </c>
      <c r="I98" s="942"/>
      <c r="J98" s="942">
        <v>750</v>
      </c>
      <c r="K98" s="178"/>
      <c r="L98" s="178"/>
      <c r="M98" s="202">
        <f t="shared" si="14"/>
        <v>750</v>
      </c>
      <c r="N98" s="942"/>
      <c r="O98" s="179" t="s">
        <v>577</v>
      </c>
      <c r="P98" s="221"/>
    </row>
    <row r="99" spans="2:20" ht="15" customHeight="1" x14ac:dyDescent="0.25">
      <c r="B99" s="232">
        <f>B98+1</f>
        <v>75</v>
      </c>
      <c r="C99" s="1070">
        <f>M99+M100+N99+N100</f>
        <v>804.43</v>
      </c>
      <c r="D99" s="1081">
        <v>44617</v>
      </c>
      <c r="E99" s="1072" t="s">
        <v>441</v>
      </c>
      <c r="F99" s="906" t="s">
        <v>511</v>
      </c>
      <c r="G99" s="1073" t="s">
        <v>306</v>
      </c>
      <c r="H99" s="1080" t="s">
        <v>251</v>
      </c>
      <c r="I99" s="939">
        <v>770.52</v>
      </c>
      <c r="J99" s="939"/>
      <c r="K99" s="32"/>
      <c r="L99" s="32"/>
      <c r="M99" s="201">
        <f t="shared" si="14"/>
        <v>770.52</v>
      </c>
      <c r="N99" s="943"/>
      <c r="O99" s="131" t="s">
        <v>409</v>
      </c>
      <c r="P99" s="221"/>
    </row>
    <row r="100" spans="2:20" ht="15" customHeight="1" x14ac:dyDescent="0.25">
      <c r="B100" s="232"/>
      <c r="C100" s="1070"/>
      <c r="D100" s="1081"/>
      <c r="E100" s="1072"/>
      <c r="F100" s="906" t="s">
        <v>512</v>
      </c>
      <c r="G100" s="1073"/>
      <c r="H100" s="1080"/>
      <c r="I100" s="952">
        <v>33.909999999999997</v>
      </c>
      <c r="J100" s="952"/>
      <c r="K100" s="32"/>
      <c r="L100" s="32"/>
      <c r="M100" s="201">
        <f t="shared" si="14"/>
        <v>33.909999999999997</v>
      </c>
      <c r="N100" s="956"/>
      <c r="O100" s="131" t="s">
        <v>408</v>
      </c>
      <c r="P100" s="221"/>
    </row>
    <row r="101" spans="2:20" ht="15" customHeight="1" x14ac:dyDescent="0.25">
      <c r="B101" s="373">
        <f>B99+1</f>
        <v>76</v>
      </c>
      <c r="C101" s="684">
        <f t="shared" si="21"/>
        <v>100</v>
      </c>
      <c r="D101" s="935">
        <v>44617</v>
      </c>
      <c r="E101" s="940" t="s">
        <v>441</v>
      </c>
      <c r="F101" s="288" t="s">
        <v>514</v>
      </c>
      <c r="G101" s="950" t="s">
        <v>306</v>
      </c>
      <c r="H101" s="937" t="s">
        <v>515</v>
      </c>
      <c r="I101" s="942"/>
      <c r="J101" s="942">
        <v>100</v>
      </c>
      <c r="K101" s="178"/>
      <c r="L101" s="178"/>
      <c r="M101" s="202">
        <f t="shared" si="14"/>
        <v>100</v>
      </c>
      <c r="N101" s="942"/>
      <c r="O101" s="179" t="s">
        <v>577</v>
      </c>
      <c r="P101" s="221"/>
    </row>
    <row r="102" spans="2:20" s="81" customFormat="1" x14ac:dyDescent="0.25">
      <c r="B102" s="232">
        <f t="shared" si="24"/>
        <v>77</v>
      </c>
      <c r="C102" s="585">
        <f t="shared" si="21"/>
        <v>178.99</v>
      </c>
      <c r="D102" s="930">
        <v>44617</v>
      </c>
      <c r="E102" s="938" t="s">
        <v>311</v>
      </c>
      <c r="F102" s="906" t="s">
        <v>520</v>
      </c>
      <c r="G102" s="948" t="s">
        <v>306</v>
      </c>
      <c r="H102" s="928" t="s">
        <v>521</v>
      </c>
      <c r="I102" s="939">
        <v>178.99</v>
      </c>
      <c r="J102" s="939"/>
      <c r="K102" s="32"/>
      <c r="L102" s="32"/>
      <c r="M102" s="201">
        <f t="shared" si="14"/>
        <v>178.99</v>
      </c>
      <c r="N102" s="943"/>
      <c r="O102" s="131" t="s">
        <v>406</v>
      </c>
    </row>
    <row r="103" spans="2:20" s="81" customFormat="1" ht="15.75" customHeight="1" x14ac:dyDescent="0.25">
      <c r="B103" s="933">
        <f t="shared" si="24"/>
        <v>78</v>
      </c>
      <c r="C103" s="684">
        <f t="shared" si="21"/>
        <v>590.52</v>
      </c>
      <c r="D103" s="935">
        <v>44620</v>
      </c>
      <c r="E103" s="940" t="s">
        <v>305</v>
      </c>
      <c r="F103" s="288" t="s">
        <v>244</v>
      </c>
      <c r="G103" s="936" t="s">
        <v>306</v>
      </c>
      <c r="H103" s="937" t="s">
        <v>350</v>
      </c>
      <c r="I103" s="942">
        <v>590.52</v>
      </c>
      <c r="J103" s="942"/>
      <c r="K103" s="178"/>
      <c r="L103" s="178"/>
      <c r="M103" s="202">
        <f t="shared" si="14"/>
        <v>590.52</v>
      </c>
      <c r="N103" s="942"/>
      <c r="O103" s="179" t="s">
        <v>406</v>
      </c>
      <c r="P103" s="221"/>
      <c r="Q103" s="218"/>
    </row>
    <row r="104" spans="2:20" x14ac:dyDescent="0.25">
      <c r="B104" s="1068">
        <f t="shared" si="24"/>
        <v>79</v>
      </c>
      <c r="C104" s="1070">
        <f>M104+M105+N104+N105</f>
        <v>99.61</v>
      </c>
      <c r="D104" s="1071">
        <v>44629</v>
      </c>
      <c r="E104" s="1072" t="s">
        <v>444</v>
      </c>
      <c r="F104" s="246" t="s">
        <v>351</v>
      </c>
      <c r="G104" s="1073" t="s">
        <v>306</v>
      </c>
      <c r="H104" s="1080" t="s">
        <v>295</v>
      </c>
      <c r="I104" s="952">
        <v>48.2</v>
      </c>
      <c r="J104" s="952"/>
      <c r="K104" s="32"/>
      <c r="L104" s="32"/>
      <c r="M104" s="201">
        <f t="shared" ref="M104:M105" si="25">SUM(I104:L104)</f>
        <v>48.2</v>
      </c>
      <c r="N104" s="201"/>
      <c r="O104" s="131" t="s">
        <v>407</v>
      </c>
      <c r="P104" s="221"/>
    </row>
    <row r="105" spans="2:20" x14ac:dyDescent="0.25">
      <c r="B105" s="1068"/>
      <c r="C105" s="1070"/>
      <c r="D105" s="1071"/>
      <c r="E105" s="1072"/>
      <c r="F105" s="246" t="s">
        <v>244</v>
      </c>
      <c r="G105" s="1073"/>
      <c r="H105" s="1080"/>
      <c r="I105" s="952">
        <v>51.41</v>
      </c>
      <c r="J105" s="952"/>
      <c r="K105" s="32"/>
      <c r="L105" s="32"/>
      <c r="M105" s="201">
        <f t="shared" si="25"/>
        <v>51.41</v>
      </c>
      <c r="N105" s="956"/>
      <c r="O105" s="131" t="s">
        <v>406</v>
      </c>
      <c r="P105" s="221"/>
    </row>
    <row r="106" spans="2:20" s="81" customFormat="1" ht="15" customHeight="1" x14ac:dyDescent="0.25">
      <c r="B106" s="373">
        <f>B103+1</f>
        <v>79</v>
      </c>
      <c r="C106" s="684">
        <v>59.5</v>
      </c>
      <c r="D106" s="949">
        <v>44631</v>
      </c>
      <c r="E106" s="953" t="s">
        <v>311</v>
      </c>
      <c r="F106" s="905" t="s">
        <v>586</v>
      </c>
      <c r="G106" s="950" t="s">
        <v>306</v>
      </c>
      <c r="H106" s="951" t="s">
        <v>587</v>
      </c>
      <c r="I106" s="954"/>
      <c r="J106" s="954">
        <v>49.59</v>
      </c>
      <c r="K106" s="178"/>
      <c r="L106" s="178"/>
      <c r="M106" s="202">
        <f t="shared" si="14"/>
        <v>49.59</v>
      </c>
      <c r="N106" s="955">
        <v>9.92</v>
      </c>
      <c r="O106" s="179" t="s">
        <v>577</v>
      </c>
      <c r="P106" s="1065" t="s">
        <v>589</v>
      </c>
      <c r="Q106" s="1066"/>
      <c r="R106" s="1066"/>
      <c r="S106" s="1066"/>
      <c r="T106" s="1066"/>
    </row>
    <row r="107" spans="2:20" s="81" customFormat="1" x14ac:dyDescent="0.25">
      <c r="B107" s="232">
        <f t="shared" ref="B107:B113" si="26">B106+1</f>
        <v>80</v>
      </c>
      <c r="C107" s="585">
        <f t="shared" ref="C107:C119" si="27">SUM(M107:N107)</f>
        <v>69.989999999999995</v>
      </c>
      <c r="D107" s="970">
        <v>44637</v>
      </c>
      <c r="E107" s="971" t="s">
        <v>441</v>
      </c>
      <c r="F107" s="906" t="s">
        <v>523</v>
      </c>
      <c r="G107" s="972" t="s">
        <v>306</v>
      </c>
      <c r="H107" s="974" t="s">
        <v>524</v>
      </c>
      <c r="I107" s="973"/>
      <c r="J107" s="973">
        <v>58.32</v>
      </c>
      <c r="K107" s="32"/>
      <c r="L107" s="32"/>
      <c r="M107" s="201">
        <f t="shared" ref="M107:M119" si="28">SUM(I107:L107)</f>
        <v>58.32</v>
      </c>
      <c r="N107" s="977">
        <v>11.67</v>
      </c>
      <c r="O107" s="131" t="s">
        <v>577</v>
      </c>
    </row>
    <row r="108" spans="2:20" s="81" customFormat="1" x14ac:dyDescent="0.25">
      <c r="B108" s="373">
        <f t="shared" si="26"/>
        <v>81</v>
      </c>
      <c r="C108" s="684">
        <f t="shared" si="27"/>
        <v>11.98</v>
      </c>
      <c r="D108" s="965">
        <v>44637</v>
      </c>
      <c r="E108" s="966" t="s">
        <v>441</v>
      </c>
      <c r="F108" s="907" t="s">
        <v>525</v>
      </c>
      <c r="G108" s="967" t="s">
        <v>306</v>
      </c>
      <c r="H108" s="968" t="s">
        <v>524</v>
      </c>
      <c r="I108" s="976"/>
      <c r="J108" s="976">
        <v>9.98</v>
      </c>
      <c r="K108" s="178"/>
      <c r="L108" s="178"/>
      <c r="M108" s="202">
        <f t="shared" si="28"/>
        <v>9.98</v>
      </c>
      <c r="N108" s="976">
        <v>2</v>
      </c>
      <c r="O108" s="179" t="s">
        <v>577</v>
      </c>
      <c r="Q108" s="218"/>
    </row>
    <row r="109" spans="2:20" s="81" customFormat="1" x14ac:dyDescent="0.25">
      <c r="B109" s="232">
        <f t="shared" si="26"/>
        <v>82</v>
      </c>
      <c r="C109" s="585">
        <f t="shared" si="27"/>
        <v>20.97</v>
      </c>
      <c r="D109" s="970">
        <v>44637</v>
      </c>
      <c r="E109" s="971" t="s">
        <v>441</v>
      </c>
      <c r="F109" s="906" t="s">
        <v>526</v>
      </c>
      <c r="G109" s="972" t="s">
        <v>306</v>
      </c>
      <c r="H109" s="974" t="s">
        <v>524</v>
      </c>
      <c r="I109" s="973"/>
      <c r="J109" s="973">
        <v>17.46</v>
      </c>
      <c r="K109" s="32"/>
      <c r="L109" s="32"/>
      <c r="M109" s="201">
        <f t="shared" si="28"/>
        <v>17.46</v>
      </c>
      <c r="N109" s="977">
        <v>3.51</v>
      </c>
      <c r="O109" s="131" t="s">
        <v>577</v>
      </c>
    </row>
    <row r="110" spans="2:20" s="81" customFormat="1" x14ac:dyDescent="0.25">
      <c r="B110" s="373">
        <f t="shared" si="26"/>
        <v>83</v>
      </c>
      <c r="C110" s="684">
        <f t="shared" si="27"/>
        <v>36.99</v>
      </c>
      <c r="D110" s="965">
        <v>44637</v>
      </c>
      <c r="E110" s="966" t="s">
        <v>441</v>
      </c>
      <c r="F110" s="1015" t="s">
        <v>582</v>
      </c>
      <c r="G110" s="967" t="s">
        <v>306</v>
      </c>
      <c r="H110" s="968" t="s">
        <v>524</v>
      </c>
      <c r="I110" s="976"/>
      <c r="J110" s="976">
        <v>30.82</v>
      </c>
      <c r="K110" s="178"/>
      <c r="L110" s="178"/>
      <c r="M110" s="202">
        <f t="shared" si="28"/>
        <v>30.82</v>
      </c>
      <c r="N110" s="976">
        <v>6.17</v>
      </c>
      <c r="O110" s="179" t="s">
        <v>577</v>
      </c>
      <c r="Q110" s="218"/>
    </row>
    <row r="111" spans="2:20" x14ac:dyDescent="0.25">
      <c r="B111" s="232">
        <f t="shared" si="26"/>
        <v>84</v>
      </c>
      <c r="C111" s="585">
        <f t="shared" si="27"/>
        <v>14.85</v>
      </c>
      <c r="D111" s="970">
        <v>44637</v>
      </c>
      <c r="E111" s="971" t="s">
        <v>441</v>
      </c>
      <c r="F111" s="1014" t="s">
        <v>527</v>
      </c>
      <c r="G111" s="972" t="s">
        <v>306</v>
      </c>
      <c r="H111" s="974" t="s">
        <v>524</v>
      </c>
      <c r="I111" s="973"/>
      <c r="J111" s="973">
        <v>12.36</v>
      </c>
      <c r="K111" s="32"/>
      <c r="L111" s="32"/>
      <c r="M111" s="201">
        <f t="shared" si="28"/>
        <v>12.36</v>
      </c>
      <c r="N111" s="977">
        <v>2.4900000000000002</v>
      </c>
      <c r="O111" s="131" t="s">
        <v>577</v>
      </c>
      <c r="P111" s="221"/>
      <c r="Q111" s="218"/>
    </row>
    <row r="112" spans="2:20" s="81" customFormat="1" ht="15.75" customHeight="1" x14ac:dyDescent="0.25">
      <c r="B112" s="373">
        <f t="shared" si="26"/>
        <v>85</v>
      </c>
      <c r="C112" s="684">
        <f t="shared" si="27"/>
        <v>11.99</v>
      </c>
      <c r="D112" s="965">
        <v>44637</v>
      </c>
      <c r="E112" s="966" t="s">
        <v>441</v>
      </c>
      <c r="F112" s="907" t="s">
        <v>528</v>
      </c>
      <c r="G112" s="967" t="s">
        <v>306</v>
      </c>
      <c r="H112" s="968" t="s">
        <v>524</v>
      </c>
      <c r="I112" s="976"/>
      <c r="J112" s="976">
        <v>9.99</v>
      </c>
      <c r="K112" s="178"/>
      <c r="L112" s="178"/>
      <c r="M112" s="202">
        <f t="shared" si="28"/>
        <v>9.99</v>
      </c>
      <c r="N112" s="976">
        <v>2</v>
      </c>
      <c r="O112" s="179" t="s">
        <v>577</v>
      </c>
      <c r="P112" s="221"/>
      <c r="Q112" s="218"/>
    </row>
    <row r="113" spans="2:17" s="81" customFormat="1" x14ac:dyDescent="0.25">
      <c r="B113" s="232">
        <f t="shared" si="26"/>
        <v>86</v>
      </c>
      <c r="C113" s="585">
        <f t="shared" si="27"/>
        <v>106.34</v>
      </c>
      <c r="D113" s="970">
        <v>44637</v>
      </c>
      <c r="E113" s="971" t="s">
        <v>441</v>
      </c>
      <c r="F113" s="246" t="s">
        <v>529</v>
      </c>
      <c r="G113" s="972" t="s">
        <v>306</v>
      </c>
      <c r="H113" s="974" t="s">
        <v>350</v>
      </c>
      <c r="I113" s="973">
        <v>106.34</v>
      </c>
      <c r="J113" s="973"/>
      <c r="K113" s="32"/>
      <c r="L113" s="32"/>
      <c r="M113" s="201">
        <f t="shared" si="28"/>
        <v>106.34</v>
      </c>
      <c r="N113" s="977"/>
      <c r="O113" s="131" t="s">
        <v>406</v>
      </c>
    </row>
    <row r="114" spans="2:17" s="81" customFormat="1" x14ac:dyDescent="0.25">
      <c r="B114" s="373">
        <f>B113+1</f>
        <v>87</v>
      </c>
      <c r="C114" s="684">
        <f t="shared" si="27"/>
        <v>53.33</v>
      </c>
      <c r="D114" s="965">
        <v>44637</v>
      </c>
      <c r="E114" s="966" t="s">
        <v>441</v>
      </c>
      <c r="F114" s="907" t="s">
        <v>530</v>
      </c>
      <c r="G114" s="967" t="s">
        <v>306</v>
      </c>
      <c r="H114" s="968" t="s">
        <v>508</v>
      </c>
      <c r="I114" s="976">
        <v>53.33</v>
      </c>
      <c r="J114" s="976"/>
      <c r="K114" s="178"/>
      <c r="L114" s="178"/>
      <c r="M114" s="202">
        <f t="shared" si="28"/>
        <v>53.33</v>
      </c>
      <c r="N114" s="976"/>
      <c r="O114" s="179" t="s">
        <v>425</v>
      </c>
    </row>
    <row r="115" spans="2:17" s="81" customFormat="1" x14ac:dyDescent="0.25">
      <c r="B115" s="232">
        <f>B114+1</f>
        <v>88</v>
      </c>
      <c r="C115" s="585">
        <f t="shared" si="27"/>
        <v>229.5</v>
      </c>
      <c r="D115" s="970">
        <v>44637</v>
      </c>
      <c r="E115" s="971" t="s">
        <v>441</v>
      </c>
      <c r="F115" s="906" t="s">
        <v>583</v>
      </c>
      <c r="G115" s="972" t="s">
        <v>306</v>
      </c>
      <c r="H115" s="974" t="s">
        <v>316</v>
      </c>
      <c r="I115" s="973">
        <v>229.5</v>
      </c>
      <c r="J115" s="973"/>
      <c r="K115" s="32"/>
      <c r="L115" s="32"/>
      <c r="M115" s="201">
        <f t="shared" si="28"/>
        <v>229.5</v>
      </c>
      <c r="N115" s="977"/>
      <c r="O115" s="131" t="s">
        <v>418</v>
      </c>
    </row>
    <row r="116" spans="2:17" s="81" customFormat="1" x14ac:dyDescent="0.25">
      <c r="B116" s="373">
        <f>B115+1</f>
        <v>89</v>
      </c>
      <c r="C116" s="684">
        <f t="shared" si="27"/>
        <v>1800</v>
      </c>
      <c r="D116" s="965">
        <v>44637</v>
      </c>
      <c r="E116" s="966" t="s">
        <v>441</v>
      </c>
      <c r="F116" s="907" t="s">
        <v>479</v>
      </c>
      <c r="G116" s="967" t="s">
        <v>306</v>
      </c>
      <c r="H116" s="968" t="s">
        <v>480</v>
      </c>
      <c r="I116" s="976"/>
      <c r="J116" s="976">
        <v>1500</v>
      </c>
      <c r="K116" s="178"/>
      <c r="L116" s="178"/>
      <c r="M116" s="202">
        <f t="shared" si="28"/>
        <v>1500</v>
      </c>
      <c r="N116" s="976">
        <v>300</v>
      </c>
      <c r="O116" s="179" t="s">
        <v>431</v>
      </c>
    </row>
    <row r="117" spans="2:17" s="81" customFormat="1" x14ac:dyDescent="0.25">
      <c r="B117" s="232">
        <f t="shared" ref="B117:B125" si="29">B116+1</f>
        <v>90</v>
      </c>
      <c r="C117" s="585">
        <f t="shared" si="27"/>
        <v>321</v>
      </c>
      <c r="D117" s="970">
        <v>44637</v>
      </c>
      <c r="E117" s="971" t="s">
        <v>441</v>
      </c>
      <c r="F117" s="904" t="s">
        <v>531</v>
      </c>
      <c r="G117" s="972" t="s">
        <v>306</v>
      </c>
      <c r="H117" s="974" t="s">
        <v>532</v>
      </c>
      <c r="I117" s="977"/>
      <c r="J117" s="977">
        <v>321</v>
      </c>
      <c r="K117" s="32"/>
      <c r="L117" s="32"/>
      <c r="M117" s="201">
        <f t="shared" si="28"/>
        <v>321</v>
      </c>
      <c r="N117" s="977"/>
      <c r="O117" s="131" t="s">
        <v>427</v>
      </c>
    </row>
    <row r="118" spans="2:17" x14ac:dyDescent="0.25">
      <c r="B118" s="373">
        <f>B117+1</f>
        <v>91</v>
      </c>
      <c r="C118" s="684">
        <f t="shared" si="27"/>
        <v>390.72</v>
      </c>
      <c r="D118" s="965">
        <v>44637</v>
      </c>
      <c r="E118" s="968" t="s">
        <v>441</v>
      </c>
      <c r="F118" s="907" t="s">
        <v>533</v>
      </c>
      <c r="G118" s="967" t="s">
        <v>306</v>
      </c>
      <c r="H118" s="968" t="s">
        <v>534</v>
      </c>
      <c r="I118" s="362"/>
      <c r="J118" s="976">
        <v>325.60000000000002</v>
      </c>
      <c r="K118" s="178"/>
      <c r="L118" s="178"/>
      <c r="M118" s="202">
        <f t="shared" si="28"/>
        <v>325.60000000000002</v>
      </c>
      <c r="N118" s="976">
        <f>M118*20%</f>
        <v>65.12</v>
      </c>
      <c r="O118" s="179" t="s">
        <v>577</v>
      </c>
      <c r="P118" s="221"/>
      <c r="Q118" s="218"/>
    </row>
    <row r="119" spans="2:17" x14ac:dyDescent="0.25">
      <c r="B119" s="232">
        <f t="shared" ref="B119" si="30">B118+1</f>
        <v>92</v>
      </c>
      <c r="C119" s="585">
        <f t="shared" si="27"/>
        <v>49.74</v>
      </c>
      <c r="D119" s="970">
        <v>44641</v>
      </c>
      <c r="E119" s="971" t="s">
        <v>294</v>
      </c>
      <c r="F119" s="299" t="s">
        <v>443</v>
      </c>
      <c r="G119" s="972" t="s">
        <v>306</v>
      </c>
      <c r="H119" s="974" t="s">
        <v>309</v>
      </c>
      <c r="I119" s="977"/>
      <c r="J119" s="977">
        <v>47.38</v>
      </c>
      <c r="K119" s="32"/>
      <c r="L119" s="32"/>
      <c r="M119" s="201">
        <f t="shared" si="28"/>
        <v>47.38</v>
      </c>
      <c r="N119" s="977">
        <v>2.36</v>
      </c>
      <c r="O119" s="131" t="s">
        <v>413</v>
      </c>
      <c r="P119" s="221"/>
    </row>
    <row r="120" spans="2:17" x14ac:dyDescent="0.25">
      <c r="B120" s="1067">
        <f>B119+1</f>
        <v>93</v>
      </c>
      <c r="C120" s="964">
        <f>M120+M121+N120+N121</f>
        <v>21.27</v>
      </c>
      <c r="D120" s="965">
        <v>44643</v>
      </c>
      <c r="E120" s="966" t="s">
        <v>444</v>
      </c>
      <c r="F120" s="245" t="s">
        <v>351</v>
      </c>
      <c r="G120" s="967" t="s">
        <v>306</v>
      </c>
      <c r="H120" s="968" t="s">
        <v>295</v>
      </c>
      <c r="I120" s="963">
        <v>10.29</v>
      </c>
      <c r="J120" s="963"/>
      <c r="K120" s="178"/>
      <c r="L120" s="178"/>
      <c r="M120" s="202">
        <f t="shared" ref="M120:M121" si="31">SUM(I120:L120)</f>
        <v>10.29</v>
      </c>
      <c r="N120" s="202"/>
      <c r="O120" s="179" t="s">
        <v>407</v>
      </c>
      <c r="P120" s="221"/>
    </row>
    <row r="121" spans="2:17" s="81" customFormat="1" x14ac:dyDescent="0.25">
      <c r="B121" s="1067"/>
      <c r="C121" s="964"/>
      <c r="D121" s="965"/>
      <c r="E121" s="966"/>
      <c r="F121" s="245" t="s">
        <v>244</v>
      </c>
      <c r="G121" s="967"/>
      <c r="H121" s="968"/>
      <c r="I121" s="963">
        <v>10.98</v>
      </c>
      <c r="J121" s="963"/>
      <c r="K121" s="178"/>
      <c r="L121" s="178"/>
      <c r="M121" s="202">
        <f t="shared" si="31"/>
        <v>10.98</v>
      </c>
      <c r="N121" s="976"/>
      <c r="O121" s="179" t="s">
        <v>406</v>
      </c>
    </row>
    <row r="122" spans="2:17" s="81" customFormat="1" x14ac:dyDescent="0.25">
      <c r="B122" s="1068">
        <f>B120+1</f>
        <v>94</v>
      </c>
      <c r="C122" s="969">
        <f>M122+M123+N122+N123</f>
        <v>99.61</v>
      </c>
      <c r="D122" s="970">
        <v>44651</v>
      </c>
      <c r="E122" s="971" t="s">
        <v>444</v>
      </c>
      <c r="F122" s="246" t="s">
        <v>351</v>
      </c>
      <c r="G122" s="972" t="s">
        <v>306</v>
      </c>
      <c r="H122" s="974" t="s">
        <v>295</v>
      </c>
      <c r="I122" s="973">
        <v>48.2</v>
      </c>
      <c r="J122" s="973"/>
      <c r="K122" s="32"/>
      <c r="L122" s="32"/>
      <c r="M122" s="201">
        <f t="shared" ref="M122:M123" si="32">SUM(I122:L122)</f>
        <v>48.2</v>
      </c>
      <c r="N122" s="201"/>
      <c r="O122" s="131" t="s">
        <v>407</v>
      </c>
      <c r="Q122" s="218"/>
    </row>
    <row r="123" spans="2:17" s="81" customFormat="1" x14ac:dyDescent="0.25">
      <c r="B123" s="1068"/>
      <c r="C123" s="969"/>
      <c r="D123" s="970"/>
      <c r="E123" s="971"/>
      <c r="F123" s="246" t="s">
        <v>244</v>
      </c>
      <c r="G123" s="972"/>
      <c r="H123" s="974"/>
      <c r="I123" s="973">
        <v>51.41</v>
      </c>
      <c r="J123" s="973"/>
      <c r="K123" s="32"/>
      <c r="L123" s="32"/>
      <c r="M123" s="201">
        <f t="shared" si="32"/>
        <v>51.41</v>
      </c>
      <c r="N123" s="977"/>
      <c r="O123" s="131" t="s">
        <v>406</v>
      </c>
    </row>
    <row r="124" spans="2:17" s="81" customFormat="1" x14ac:dyDescent="0.25">
      <c r="B124" s="373">
        <f>B122+1</f>
        <v>95</v>
      </c>
      <c r="C124" s="684">
        <f t="shared" ref="C124:C125" si="33">SUM(M124:N124)</f>
        <v>590.52</v>
      </c>
      <c r="D124" s="965">
        <v>44651</v>
      </c>
      <c r="E124" s="966" t="s">
        <v>305</v>
      </c>
      <c r="F124" s="245" t="s">
        <v>244</v>
      </c>
      <c r="G124" s="967" t="s">
        <v>306</v>
      </c>
      <c r="H124" s="968" t="s">
        <v>350</v>
      </c>
      <c r="I124" s="963">
        <v>590.52</v>
      </c>
      <c r="J124" s="963"/>
      <c r="K124" s="178"/>
      <c r="L124" s="178"/>
      <c r="M124" s="202">
        <f t="shared" ref="M124:M125" si="34">SUM(I124:L124)</f>
        <v>590.52</v>
      </c>
      <c r="N124" s="976"/>
      <c r="O124" s="179" t="s">
        <v>406</v>
      </c>
    </row>
    <row r="125" spans="2:17" s="81" customFormat="1" x14ac:dyDescent="0.25">
      <c r="B125" s="232">
        <f t="shared" si="29"/>
        <v>96</v>
      </c>
      <c r="C125" s="585">
        <f t="shared" si="33"/>
        <v>18</v>
      </c>
      <c r="D125" s="970">
        <v>44651</v>
      </c>
      <c r="E125" s="974" t="s">
        <v>352</v>
      </c>
      <c r="F125" s="299" t="s">
        <v>353</v>
      </c>
      <c r="G125" s="972" t="s">
        <v>306</v>
      </c>
      <c r="H125" s="974" t="s">
        <v>453</v>
      </c>
      <c r="I125" s="372">
        <v>18</v>
      </c>
      <c r="J125" s="977"/>
      <c r="K125" s="32"/>
      <c r="L125" s="32"/>
      <c r="M125" s="201">
        <f t="shared" si="34"/>
        <v>18</v>
      </c>
      <c r="N125" s="977"/>
      <c r="O125" s="131" t="s">
        <v>409</v>
      </c>
    </row>
    <row r="126" spans="2:17" s="81" customFormat="1" hidden="1" x14ac:dyDescent="0.25">
      <c r="B126" s="232"/>
      <c r="C126" s="585">
        <f t="shared" si="21"/>
        <v>0</v>
      </c>
      <c r="D126" s="970"/>
      <c r="E126" s="974"/>
      <c r="F126" s="299"/>
      <c r="G126" s="972"/>
      <c r="H126" s="974"/>
      <c r="I126" s="372"/>
      <c r="J126" s="977"/>
      <c r="K126" s="32"/>
      <c r="L126" s="32"/>
      <c r="M126" s="201">
        <f t="shared" si="14"/>
        <v>0</v>
      </c>
      <c r="N126" s="977"/>
      <c r="O126" s="131"/>
    </row>
    <row r="127" spans="2:17" s="81" customFormat="1" hidden="1" x14ac:dyDescent="0.25">
      <c r="B127" s="231"/>
      <c r="C127" s="585">
        <f t="shared" si="21"/>
        <v>0</v>
      </c>
      <c r="D127" s="930"/>
      <c r="E127" s="938"/>
      <c r="F127" s="246"/>
      <c r="G127" s="576"/>
      <c r="H127" s="928"/>
      <c r="I127" s="939"/>
      <c r="J127" s="939"/>
      <c r="K127" s="32"/>
      <c r="L127" s="32"/>
      <c r="M127" s="201">
        <f t="shared" si="14"/>
        <v>0</v>
      </c>
      <c r="N127" s="943"/>
      <c r="O127" s="131"/>
      <c r="P127" s="218"/>
    </row>
    <row r="128" spans="2:17" s="81" customFormat="1" ht="15.75" thickBot="1" x14ac:dyDescent="0.3">
      <c r="B128" s="231"/>
      <c r="C128" s="171">
        <f>SUM(C1:C127)</f>
        <v>45477.01</v>
      </c>
      <c r="D128" s="172"/>
      <c r="E128" s="204"/>
      <c r="F128" s="204" t="s">
        <v>7</v>
      </c>
      <c r="G128" s="577"/>
      <c r="H128" s="171"/>
      <c r="I128" s="171">
        <f>SUM(I1:I127)</f>
        <v>12968.36</v>
      </c>
      <c r="J128" s="171">
        <f>SUM(J1:J127)</f>
        <v>28696.53</v>
      </c>
      <c r="K128" s="171">
        <f>SUM(K1:K127)</f>
        <v>0</v>
      </c>
      <c r="L128" s="171">
        <f>SUM(L1:L127)</f>
        <v>0</v>
      </c>
      <c r="M128" s="171">
        <f>SUM(I128:L128)</f>
        <v>41664.89</v>
      </c>
      <c r="N128" s="171">
        <f>SUM(N1:N127)</f>
        <v>3812.13</v>
      </c>
      <c r="O128" s="55"/>
    </row>
    <row r="129" spans="2:17" s="81" customFormat="1" ht="15.75" thickTop="1" x14ac:dyDescent="0.25">
      <c r="B129" s="231"/>
      <c r="C129" s="55"/>
      <c r="D129" s="173"/>
      <c r="E129" s="205"/>
      <c r="F129" s="205"/>
      <c r="G129" s="578"/>
      <c r="H129" s="174"/>
      <c r="I129" s="55"/>
      <c r="J129" s="55"/>
      <c r="K129" s="174"/>
      <c r="L129" s="174"/>
      <c r="M129" s="55">
        <f>M128+N128</f>
        <v>45477.02</v>
      </c>
      <c r="N129" s="55">
        <f>M128-'Budget Analysis'!G60</f>
        <v>0</v>
      </c>
      <c r="O129" s="33"/>
    </row>
    <row r="130" spans="2:17" x14ac:dyDescent="0.25">
      <c r="C130" s="55"/>
      <c r="D130" s="173"/>
      <c r="E130" s="205"/>
      <c r="F130" s="205"/>
      <c r="G130" s="578"/>
      <c r="H130" s="55"/>
      <c r="I130" s="55"/>
      <c r="J130" s="55"/>
      <c r="K130" s="55"/>
      <c r="L130" s="55"/>
      <c r="M130" s="55">
        <f>C128-M129</f>
        <v>-0.01</v>
      </c>
      <c r="N130" s="55">
        <f>N129-M130</f>
        <v>0.01</v>
      </c>
    </row>
    <row r="131" spans="2:17" x14ac:dyDescent="0.25">
      <c r="C131" s="219"/>
      <c r="D131" s="175"/>
      <c r="E131" s="601"/>
      <c r="F131" s="206"/>
      <c r="G131" s="604"/>
      <c r="H131" s="96"/>
      <c r="I131" s="199"/>
    </row>
    <row r="132" spans="2:17" x14ac:dyDescent="0.25">
      <c r="H132" s="96"/>
    </row>
    <row r="133" spans="2:17" x14ac:dyDescent="0.25">
      <c r="H133" s="176"/>
      <c r="Q133" s="219"/>
    </row>
    <row r="134" spans="2:17" x14ac:dyDescent="0.25">
      <c r="H134" s="176"/>
    </row>
    <row r="135" spans="2:17" x14ac:dyDescent="0.25">
      <c r="H135" s="176"/>
      <c r="Q135" s="219"/>
    </row>
    <row r="136" spans="2:17" x14ac:dyDescent="0.25">
      <c r="H136" s="175"/>
    </row>
    <row r="137" spans="2:17" x14ac:dyDescent="0.25">
      <c r="H137" s="175"/>
    </row>
    <row r="138" spans="2:17" x14ac:dyDescent="0.25">
      <c r="H138" s="175"/>
    </row>
    <row r="139" spans="2:17" x14ac:dyDescent="0.25">
      <c r="H139" s="175"/>
    </row>
    <row r="140" spans="2:17" x14ac:dyDescent="0.25">
      <c r="H140" s="175"/>
    </row>
    <row r="141" spans="2:17" x14ac:dyDescent="0.25">
      <c r="H141" s="175"/>
    </row>
    <row r="142" spans="2:17" x14ac:dyDescent="0.25">
      <c r="H142" s="175"/>
    </row>
    <row r="143" spans="2:17" x14ac:dyDescent="0.25">
      <c r="H143" s="175"/>
    </row>
    <row r="144" spans="2:17" x14ac:dyDescent="0.25">
      <c r="H144" s="175"/>
    </row>
    <row r="145" spans="8:8" x14ac:dyDescent="0.25">
      <c r="H145" s="175"/>
    </row>
    <row r="146" spans="8:8" x14ac:dyDescent="0.25">
      <c r="H146" s="175"/>
    </row>
    <row r="147" spans="8:8" x14ac:dyDescent="0.25">
      <c r="H147" s="175"/>
    </row>
    <row r="148" spans="8:8" x14ac:dyDescent="0.25">
      <c r="H148" s="175"/>
    </row>
    <row r="149" spans="8:8" x14ac:dyDescent="0.25">
      <c r="H149" s="175"/>
    </row>
    <row r="150" spans="8:8" x14ac:dyDescent="0.25">
      <c r="H150" s="175"/>
    </row>
    <row r="151" spans="8:8" x14ac:dyDescent="0.25">
      <c r="H151" s="175"/>
    </row>
    <row r="152" spans="8:8" x14ac:dyDescent="0.25">
      <c r="H152" s="175"/>
    </row>
    <row r="153" spans="8:8" x14ac:dyDescent="0.25">
      <c r="H153" s="175"/>
    </row>
    <row r="154" spans="8:8" x14ac:dyDescent="0.25">
      <c r="H154" s="175"/>
    </row>
    <row r="155" spans="8:8" x14ac:dyDescent="0.25">
      <c r="H155" s="175"/>
    </row>
    <row r="156" spans="8:8" x14ac:dyDescent="0.25">
      <c r="H156" s="175"/>
    </row>
    <row r="157" spans="8:8" x14ac:dyDescent="0.25">
      <c r="H157" s="175"/>
    </row>
    <row r="158" spans="8:8" x14ac:dyDescent="0.25">
      <c r="H158" s="175"/>
    </row>
    <row r="159" spans="8:8" x14ac:dyDescent="0.25">
      <c r="H159" s="175"/>
    </row>
    <row r="160" spans="8:8" x14ac:dyDescent="0.25">
      <c r="H160" s="175"/>
    </row>
    <row r="161" spans="8:8" x14ac:dyDescent="0.25">
      <c r="H161" s="175"/>
    </row>
  </sheetData>
  <sheetProtection algorithmName="SHA-512" hashValue="G7DNZDg4LrYX3eA6GF5ljO/fTV4wqTlROkuomPMhWvizaJgnjDlhzIE1nvTbjit0BAtkMUxEtEpz33fcnPx14g==" saltValue="8BuwTa2BDcF4t0ViRPMBcw==" spinCount="100000" sheet="1" objects="1" scenarios="1" selectLockedCells="1"/>
  <mergeCells count="110">
    <mergeCell ref="C99:C100"/>
    <mergeCell ref="H99:H100"/>
    <mergeCell ref="B93:B94"/>
    <mergeCell ref="C93:C94"/>
    <mergeCell ref="D93:D94"/>
    <mergeCell ref="E93:E94"/>
    <mergeCell ref="G93:G94"/>
    <mergeCell ref="E63:E64"/>
    <mergeCell ref="H67:H68"/>
    <mergeCell ref="B72:B73"/>
    <mergeCell ref="C72:C73"/>
    <mergeCell ref="D72:D73"/>
    <mergeCell ref="E72:E73"/>
    <mergeCell ref="G72:G73"/>
    <mergeCell ref="H72:H73"/>
    <mergeCell ref="B67:B68"/>
    <mergeCell ref="C67:C68"/>
    <mergeCell ref="D67:D68"/>
    <mergeCell ref="E67:E68"/>
    <mergeCell ref="D48:D49"/>
    <mergeCell ref="E48:E49"/>
    <mergeCell ref="G48:G49"/>
    <mergeCell ref="D63:D64"/>
    <mergeCell ref="G63:G64"/>
    <mergeCell ref="B63:B64"/>
    <mergeCell ref="C63:C64"/>
    <mergeCell ref="H63:H64"/>
    <mergeCell ref="H93:H94"/>
    <mergeCell ref="G67:G68"/>
    <mergeCell ref="B13:B15"/>
    <mergeCell ref="C13:C15"/>
    <mergeCell ref="D13:D15"/>
    <mergeCell ref="E13:E15"/>
    <mergeCell ref="B30:B31"/>
    <mergeCell ref="C30:C31"/>
    <mergeCell ref="D30:D31"/>
    <mergeCell ref="E30:E31"/>
    <mergeCell ref="H48:H49"/>
    <mergeCell ref="C39:C40"/>
    <mergeCell ref="D39:D40"/>
    <mergeCell ref="C43:C44"/>
    <mergeCell ref="D43:D44"/>
    <mergeCell ref="E43:E44"/>
    <mergeCell ref="B39:B40"/>
    <mergeCell ref="B32:B33"/>
    <mergeCell ref="G43:G44"/>
    <mergeCell ref="H43:H44"/>
    <mergeCell ref="E39:E40"/>
    <mergeCell ref="G39:G40"/>
    <mergeCell ref="H39:H40"/>
    <mergeCell ref="B43:B44"/>
    <mergeCell ref="B48:B49"/>
    <mergeCell ref="C48:C49"/>
    <mergeCell ref="D10:D11"/>
    <mergeCell ref="E10:E11"/>
    <mergeCell ref="G10:G11"/>
    <mergeCell ref="H10:H11"/>
    <mergeCell ref="C32:C33"/>
    <mergeCell ref="D32:D33"/>
    <mergeCell ref="E32:E33"/>
    <mergeCell ref="G32:G33"/>
    <mergeCell ref="H32:H33"/>
    <mergeCell ref="B6:B7"/>
    <mergeCell ref="E6:E7"/>
    <mergeCell ref="D6:D7"/>
    <mergeCell ref="G6:G7"/>
    <mergeCell ref="H6:H7"/>
    <mergeCell ref="C6:C7"/>
    <mergeCell ref="B10:B11"/>
    <mergeCell ref="C10:C11"/>
    <mergeCell ref="G30:G31"/>
    <mergeCell ref="H30:H31"/>
    <mergeCell ref="G13:G15"/>
    <mergeCell ref="H13:H15"/>
    <mergeCell ref="E16:E18"/>
    <mergeCell ref="E23:E24"/>
    <mergeCell ref="B23:B24"/>
    <mergeCell ref="B16:B18"/>
    <mergeCell ref="C16:C18"/>
    <mergeCell ref="D16:D18"/>
    <mergeCell ref="G16:G18"/>
    <mergeCell ref="H16:H18"/>
    <mergeCell ref="D23:D24"/>
    <mergeCell ref="C23:C24"/>
    <mergeCell ref="G23:G24"/>
    <mergeCell ref="H23:H24"/>
    <mergeCell ref="P106:T106"/>
    <mergeCell ref="B120:B121"/>
    <mergeCell ref="B122:B123"/>
    <mergeCell ref="H74:H75"/>
    <mergeCell ref="B74:B75"/>
    <mergeCell ref="C74:C75"/>
    <mergeCell ref="D74:D75"/>
    <mergeCell ref="E74:E75"/>
    <mergeCell ref="G74:G75"/>
    <mergeCell ref="H82:H83"/>
    <mergeCell ref="B82:B83"/>
    <mergeCell ref="C82:C83"/>
    <mergeCell ref="D82:D83"/>
    <mergeCell ref="G82:G83"/>
    <mergeCell ref="E82:E83"/>
    <mergeCell ref="B104:B105"/>
    <mergeCell ref="C104:C105"/>
    <mergeCell ref="D104:D105"/>
    <mergeCell ref="E104:E105"/>
    <mergeCell ref="G104:G105"/>
    <mergeCell ref="H104:H105"/>
    <mergeCell ref="D99:D100"/>
    <mergeCell ref="E99:E100"/>
    <mergeCell ref="G99:G100"/>
  </mergeCells>
  <phoneticPr fontId="29" type="noConversion"/>
  <hyperlinks>
    <hyperlink ref="F5" r:id="rId1" xr:uid="{33C5D35A-A33F-4A49-A681-C160F017384C}"/>
    <hyperlink ref="F9" r:id="rId2" xr:uid="{507CDA18-3570-4028-81CC-A56EDC314B60}"/>
    <hyperlink ref="F13:F15" r:id="rId3" display="https://www.dropbox.com/s/eu0nf9hu6kgxw5r/21.04%20NCALC%20Invoice%20INV-1113%20Ann%20fee%20%26%20audit.pdf?dl=0" xr:uid="{B6766CBB-83FA-4265-80DA-C8F01F3FCDF4}"/>
    <hyperlink ref="F16" r:id="rId4" xr:uid="{43389B29-AA97-4A15-B6E8-2F2CDF6BF06E}"/>
    <hyperlink ref="F18" r:id="rId5" display="April Groundworks" xr:uid="{A5CD6BD3-A20D-4C17-8CA2-4BA5D5459D11}"/>
    <hyperlink ref="F17" r:id="rId6" xr:uid="{490FD652-A8F6-49C3-B81F-EE9DEC3C092B}"/>
    <hyperlink ref="F19" r:id="rId7" xr:uid="{91390D92-C536-4BDA-BA3B-1022A00063E8}"/>
    <hyperlink ref="F20" r:id="rId8" xr:uid="{9BCF0335-0E34-4C99-B235-01C9B32163E7}"/>
    <hyperlink ref="F22" r:id="rId9" xr:uid="{F655D5D2-22A3-427C-AC28-DDF8A3312FB1}"/>
    <hyperlink ref="F25" r:id="rId10" xr:uid="{4B777E7E-F70E-4D85-8169-9AE88068E471}"/>
    <hyperlink ref="F26" r:id="rId11" xr:uid="{0F9DD7AF-6101-4E71-B4EE-A4126D20C720}"/>
    <hyperlink ref="F30" r:id="rId12" display="https://www.dropbox.com/s/02cmi16e4885n9v/21.06%20Plough%20May%20works%20invoice%202618.pdf?dl=0" xr:uid="{3327F86F-7EBC-4943-B981-7E8363710F38}"/>
    <hyperlink ref="F34" r:id="rId13" xr:uid="{C3678DB4-40F9-478C-AB25-44D97C75D5BA}"/>
    <hyperlink ref="F35" r:id="rId14" xr:uid="{DD0572D5-6E63-48F8-9C5E-8F76DF0E17DC}"/>
    <hyperlink ref="F36" r:id="rId15" xr:uid="{52B6BDD7-498A-4DA6-B358-2E07008CF68B}"/>
    <hyperlink ref="F37" r:id="rId16" display="RoSPA insepection" xr:uid="{45448219-AB4A-4F16-B339-8CFE0373DD47}"/>
    <hyperlink ref="F41" r:id="rId17" xr:uid="{6027B72F-CF85-46B0-B9F8-CB5C4D70811E}"/>
    <hyperlink ref="F45" r:id="rId18" xr:uid="{D9F114E9-4CD4-4AF1-9266-960810221CBB}"/>
    <hyperlink ref="F4" r:id="rId19" xr:uid="{F35F05FB-9D47-4D88-A422-A6940143E527}"/>
    <hyperlink ref="F3" r:id="rId20" xr:uid="{4D2EEE3D-8555-4D21-B89A-9E3A17165E54}"/>
    <hyperlink ref="F27" r:id="rId21" xr:uid="{01CD7B5E-4359-482B-8EA9-48AF2971E006}"/>
    <hyperlink ref="F53" r:id="rId22" xr:uid="{AD35E12A-3468-4A49-B962-41D8F7B2499A}"/>
    <hyperlink ref="F54" r:id="rId23" xr:uid="{3A35DC93-B6FD-41AF-9676-810B7DE7D196}"/>
    <hyperlink ref="F55" r:id="rId24" xr:uid="{7EF65516-3282-4556-A3C0-DF9289C6AC69}"/>
    <hyperlink ref="F56" r:id="rId25" xr:uid="{9322C6F3-1213-4EC2-9CBE-B5DB17522EAA}"/>
    <hyperlink ref="F61" r:id="rId26" xr:uid="{E764B903-F01F-4EA1-94CC-1650F6BF0EA5}"/>
    <hyperlink ref="F60" r:id="rId27" display="Groundsworks" xr:uid="{EBA2C838-691C-4D61-B693-4A25D3433158}"/>
    <hyperlink ref="F57" r:id="rId28" xr:uid="{89DC2C1F-272F-4093-A204-2E133F158141}"/>
    <hyperlink ref="F50" r:id="rId29" xr:uid="{FA21B35F-5215-4345-9E96-46BC08F519EB}"/>
    <hyperlink ref="F65" r:id="rId30" xr:uid="{9D44E77C-B2AA-44A1-B897-714E9A81017C}"/>
    <hyperlink ref="F52" r:id="rId31" display="Antivirsu software" xr:uid="{ABEDC1C4-C0D6-426A-B5EE-48B217E40610}"/>
    <hyperlink ref="F71" r:id="rId32" xr:uid="{23D8042B-7D83-478F-9C00-5C68155911A0}"/>
    <hyperlink ref="F70" r:id="rId33" xr:uid="{7079A1B6-F1BF-4567-81AC-66C476F61432}"/>
    <hyperlink ref="F72" r:id="rId34" display="https://www.dropbox.com/s/02cmi16e4885n9v/21.06%20Plough%20May%20works%20invoice%202618.pdf?dl=0" xr:uid="{83056FD5-9620-43B7-A97E-E1A54614A428}"/>
    <hyperlink ref="F72:F73" r:id="rId35" display="Highway verges" xr:uid="{FD953D70-A2A5-4AFB-8EE3-7A268A920AF9}"/>
    <hyperlink ref="F74" r:id="rId36" display="March Groundworks" xr:uid="{F3E87177-1A0E-47F5-9646-4BBD1B36399C}"/>
    <hyperlink ref="F75" r:id="rId37" display="April Groundworks" xr:uid="{BB557A95-9485-4A5D-A1A9-FF83749E79B1}"/>
    <hyperlink ref="F76" r:id="rId38" xr:uid="{4E5F24D0-43BE-4E2D-8E44-6DC80B2F4540}"/>
    <hyperlink ref="F77" r:id="rId39" xr:uid="{5A28586E-0F3F-49DD-A33A-8381EBBAC0BD}"/>
    <hyperlink ref="F79" r:id="rId40" display="Website for histroy group" xr:uid="{4AF8AD9E-E6BB-4B74-8357-7FAA78C9103B}"/>
    <hyperlink ref="F86" r:id="rId41" xr:uid="{60BF71E6-1060-445C-B5B3-12DB7EEBFC78}"/>
    <hyperlink ref="F88" r:id="rId42" xr:uid="{247EE8EB-3DEC-4405-B1A3-15FE17FB1699}"/>
    <hyperlink ref="F89" r:id="rId43" xr:uid="{E6AD3FF5-556E-45F1-9289-FD9D74A05C14}"/>
    <hyperlink ref="F97" r:id="rId44" xr:uid="{46440633-1C48-4CB3-B95B-EA8143207D14}"/>
    <hyperlink ref="F96" r:id="rId45" xr:uid="{80D101BD-89C3-4C8F-B69E-33CBF59DBB79}"/>
    <hyperlink ref="F90" r:id="rId46" xr:uid="{EBB9CD54-77A7-406D-9F41-5F2621E13E59}"/>
    <hyperlink ref="F84" r:id="rId47" xr:uid="{2122F727-DEC0-493D-B9FF-61BD739DF46C}"/>
    <hyperlink ref="F95" r:id="rId48" xr:uid="{70642A90-42AB-407E-A91B-74D7A25F7CAA}"/>
    <hyperlink ref="F98" r:id="rId49" display="Fireworks " xr:uid="{CFBFDCD0-5D3D-4532-8F91-C61FD0B1F10C}"/>
    <hyperlink ref="F99:F100" r:id="rId50" display="Office exps" xr:uid="{F9BDF2AF-7BEA-4EC9-8A54-70209A76AD84}"/>
    <hyperlink ref="F102" r:id="rId51" xr:uid="{8AFE1317-7AC8-4565-BA07-A19DEA77028F}"/>
    <hyperlink ref="F106" r:id="rId52" xr:uid="{6A856E4A-3A6F-4CA4-BB71-A3E613CC4AF6}"/>
    <hyperlink ref="F107" r:id="rId53" xr:uid="{8B9F78BC-4151-4E96-ADC5-59A112B3101E}"/>
    <hyperlink ref="F51" r:id="rId54" xr:uid="{ADE6C922-5EE8-4F60-AD2B-8BFC6D37902F}"/>
    <hyperlink ref="F112" r:id="rId55" xr:uid="{9E85A5E6-8A34-4278-89DE-0A3A77EC6125}"/>
    <hyperlink ref="F109" r:id="rId56" xr:uid="{B8FCA6E2-0264-4792-8B43-BEFDF92F49DA}"/>
    <hyperlink ref="F110" r:id="rId57" xr:uid="{167EA788-3CE5-459D-8DF7-EB1B4B787F03}"/>
  </hyperlinks>
  <printOptions horizontalCentered="1" verticalCentered="1"/>
  <pageMargins left="0" right="0" top="0.78740157480314965" bottom="0.39370078740157483" header="0.51181102362204722" footer="0.51181102362204722"/>
  <pageSetup paperSize="9" scale="80" fitToHeight="0" orientation="landscape" r:id="rId58"/>
  <headerFooter alignWithMargins="0">
    <oddHeader xml:space="preserve">&amp;LNassington Parish Council
Northamptonshire&amp;C&amp;A&amp;RAccounts to y/e 31 March 2021
</oddHeader>
  </headerFooter>
  <drawing r:id="rId59"/>
  <extLst>
    <ext xmlns:x14="http://schemas.microsoft.com/office/spreadsheetml/2009/9/main" uri="{CCE6A557-97BC-4b89-ADB6-D9C93CAAB3DF}">
      <x14:dataValidations xmlns:xm="http://schemas.microsoft.com/office/excel/2006/main" count="3">
        <x14:dataValidation type="list" allowBlank="1" showInputMessage="1" showErrorMessage="1" xr:uid="{2EA2D796-D46D-461D-B0B0-6EC0F81E6652}">
          <x14:formula1>
            <xm:f>'Budget Analysis'!$D$19:$D$51</xm:f>
          </x14:formula1>
          <xm:sqref>O6:O25 O27:O44 O4 O46:O47 O54:O62 O51:O52 O65:O75 O79:O127</xm:sqref>
        </x14:dataValidation>
        <x14:dataValidation type="list" allowBlank="1" showInputMessage="1" showErrorMessage="1" xr:uid="{E77C6C19-817D-4E77-AD1F-2C2203F3BD6F}">
          <x14:formula1>
            <xm:f>'Budget Analysis'!$D$19:$D$53</xm:f>
          </x14:formula1>
          <xm:sqref>O76:O78</xm:sqref>
        </x14:dataValidation>
        <x14:dataValidation type="list" allowBlank="1" showInputMessage="1" showErrorMessage="1" xr:uid="{D01CA7B8-E2D1-4663-93E9-7A03F3CBCCDC}">
          <x14:formula1>
            <xm:f>'Budget Analysis'!$D$19:$D$57</xm:f>
          </x14:formula1>
          <xm:sqref>O5 O3 O45 O26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31"/>
  </sheetPr>
  <dimension ref="A1:O36"/>
  <sheetViews>
    <sheetView showGridLines="0" workbookViewId="0">
      <selection activeCell="G1" sqref="G1:G1048576"/>
    </sheetView>
  </sheetViews>
  <sheetFormatPr defaultColWidth="9.140625" defaultRowHeight="15.75" x14ac:dyDescent="0.25"/>
  <cols>
    <col min="1" max="1" width="15.42578125" style="99" customWidth="1"/>
    <col min="2" max="2" width="46.85546875" style="99" customWidth="1"/>
    <col min="3" max="3" width="15.140625" style="99" customWidth="1"/>
    <col min="4" max="4" width="3" style="99" customWidth="1"/>
    <col min="5" max="5" width="32.42578125" style="99" bestFit="1" customWidth="1"/>
    <col min="6" max="6" width="15.7109375" style="100" bestFit="1" customWidth="1"/>
    <col min="7" max="7" width="13.85546875" style="99" hidden="1" customWidth="1"/>
    <col min="8" max="9" width="11.5703125" style="99" bestFit="1" customWidth="1"/>
    <col min="10" max="10" width="9.42578125" style="99" bestFit="1" customWidth="1"/>
    <col min="11" max="12" width="9.140625" style="99"/>
    <col min="13" max="13" width="11.5703125" style="100" bestFit="1" customWidth="1"/>
    <col min="14" max="14" width="11.5703125" style="99" bestFit="1" customWidth="1"/>
    <col min="15" max="16384" width="9.140625" style="99"/>
  </cols>
  <sheetData>
    <row r="1" spans="1:15" ht="9" customHeight="1" x14ac:dyDescent="0.25"/>
    <row r="2" spans="1:15" ht="14.25" customHeight="1" x14ac:dyDescent="0.25">
      <c r="B2" s="101" t="s">
        <v>55</v>
      </c>
      <c r="C2" s="102">
        <f>F4</f>
        <v>44651</v>
      </c>
      <c r="D2" s="109"/>
      <c r="E2" s="103" t="s">
        <v>616</v>
      </c>
    </row>
    <row r="4" spans="1:15" x14ac:dyDescent="0.25">
      <c r="A4" s="104" t="s">
        <v>16</v>
      </c>
      <c r="B4" s="104" t="s">
        <v>11</v>
      </c>
      <c r="C4" s="105"/>
      <c r="E4" s="106" t="s">
        <v>56</v>
      </c>
      <c r="F4" s="617">
        <v>44651</v>
      </c>
      <c r="H4" s="218"/>
      <c r="J4" s="181"/>
      <c r="K4" s="217"/>
      <c r="L4" s="147"/>
    </row>
    <row r="5" spans="1:15" x14ac:dyDescent="0.25">
      <c r="A5" s="617">
        <f>C2</f>
        <v>44651</v>
      </c>
      <c r="C5" s="107"/>
      <c r="F5" s="108"/>
      <c r="G5" s="114">
        <f>[7]Balances!$F$6</f>
        <v>2280.29</v>
      </c>
      <c r="H5" s="219"/>
      <c r="J5" s="181"/>
      <c r="K5" s="217"/>
      <c r="L5" s="147"/>
    </row>
    <row r="6" spans="1:15" x14ac:dyDescent="0.25">
      <c r="A6" s="109"/>
      <c r="B6" s="99" t="str">
        <f>+E6</f>
        <v>Current account</v>
      </c>
      <c r="C6" s="108">
        <f>F6</f>
        <v>2572.58</v>
      </c>
      <c r="E6" s="99" t="s">
        <v>300</v>
      </c>
      <c r="F6" s="100">
        <v>2572.58</v>
      </c>
      <c r="G6" s="114">
        <f>Payments!C66+Payments!C65+Payments!C63+Payments!C62+Payments!C61+Payments!C60+Payments!C59+Payments!C58+Payments!C57+Payments!C56+Payments!C55+Payments!C54+Payments!C53+Payments!C50+Payments!C48+Payments!C47+Payments!C46+Payments!C45+Payments!C43</f>
        <v>17129.599999999999</v>
      </c>
      <c r="H6" s="117"/>
      <c r="I6" s="117"/>
      <c r="J6" s="181"/>
      <c r="K6" s="217"/>
      <c r="L6" s="147"/>
      <c r="N6" s="945"/>
      <c r="O6" s="945"/>
    </row>
    <row r="7" spans="1:15" x14ac:dyDescent="0.25">
      <c r="B7" s="110" t="s">
        <v>235</v>
      </c>
      <c r="C7" s="108">
        <f>SUMIF(Payments!G6:G127,"",Payments!C6:C127)</f>
        <v>0</v>
      </c>
      <c r="E7" s="99" t="s">
        <v>65</v>
      </c>
      <c r="F7" s="100">
        <v>60008.9</v>
      </c>
      <c r="G7" s="114">
        <f>G6+Payments!C51+Payments!C52</f>
        <v>17239.05</v>
      </c>
      <c r="J7" s="181"/>
      <c r="K7" s="217"/>
      <c r="L7" s="147"/>
      <c r="N7" s="945"/>
    </row>
    <row r="8" spans="1:15" x14ac:dyDescent="0.25">
      <c r="B8" s="111" t="s">
        <v>322</v>
      </c>
      <c r="E8" s="99" t="s">
        <v>321</v>
      </c>
      <c r="F8" s="100">
        <f>'PockIt-Petty Cash '!F34</f>
        <v>511.3</v>
      </c>
      <c r="G8" s="114">
        <f>SUM(Payments!C43:C66)</f>
        <v>17239.05</v>
      </c>
      <c r="I8" s="117"/>
      <c r="J8" s="944"/>
      <c r="K8" s="217"/>
      <c r="L8" s="147"/>
      <c r="N8" s="945"/>
    </row>
    <row r="9" spans="1:15" x14ac:dyDescent="0.25">
      <c r="B9" s="99" t="s">
        <v>484</v>
      </c>
      <c r="C9" s="108"/>
      <c r="E9" s="99" t="s">
        <v>464</v>
      </c>
      <c r="F9" s="100">
        <v>50130.22</v>
      </c>
      <c r="G9" s="114">
        <f>G8-G6</f>
        <v>109.45</v>
      </c>
      <c r="J9" s="181"/>
      <c r="K9" s="217"/>
      <c r="L9" s="147"/>
    </row>
    <row r="10" spans="1:15" ht="13.5" customHeight="1" x14ac:dyDescent="0.25">
      <c r="E10" s="106" t="s">
        <v>37</v>
      </c>
      <c r="F10" s="108">
        <f>SUM(F6:F9)</f>
        <v>113223</v>
      </c>
      <c r="G10" s="114">
        <f>[7]Balances!$F$8-F8</f>
        <v>-334.16</v>
      </c>
    </row>
    <row r="11" spans="1:15" x14ac:dyDescent="0.25">
      <c r="B11" s="99" t="s">
        <v>17</v>
      </c>
      <c r="C11" s="112">
        <f>C6-C7-C9+C10+C8</f>
        <v>2572.58</v>
      </c>
      <c r="F11" s="108"/>
      <c r="G11" s="114"/>
    </row>
    <row r="12" spans="1:15" ht="16.5" thickBot="1" x14ac:dyDescent="0.3">
      <c r="B12" s="99" t="str">
        <f>E9</f>
        <v>Nationwide 95 day saver</v>
      </c>
      <c r="C12" s="108">
        <f>F9</f>
        <v>50130.22</v>
      </c>
      <c r="E12" s="99" t="s">
        <v>36</v>
      </c>
      <c r="F12" s="113">
        <f>F10+C8</f>
        <v>113223</v>
      </c>
      <c r="G12" s="107"/>
      <c r="J12" s="181"/>
      <c r="K12" s="217"/>
      <c r="L12" s="147"/>
    </row>
    <row r="13" spans="1:15" ht="16.5" thickTop="1" x14ac:dyDescent="0.25">
      <c r="B13" s="99" t="str">
        <f>E7</f>
        <v>Tailored reserve</v>
      </c>
      <c r="C13" s="108">
        <f>F7</f>
        <v>60008.9</v>
      </c>
      <c r="E13" s="99" t="s">
        <v>38</v>
      </c>
      <c r="F13" s="108">
        <f>C9+C7</f>
        <v>0</v>
      </c>
      <c r="G13" s="107"/>
      <c r="J13" s="181"/>
      <c r="K13" s="217"/>
      <c r="L13" s="147"/>
    </row>
    <row r="14" spans="1:15" x14ac:dyDescent="0.25">
      <c r="B14" s="99" t="s">
        <v>320</v>
      </c>
      <c r="C14" s="108">
        <f>+F8</f>
        <v>511.3</v>
      </c>
      <c r="F14" s="108"/>
      <c r="G14" s="107"/>
      <c r="J14" s="181"/>
      <c r="K14" s="217"/>
      <c r="L14" s="147"/>
    </row>
    <row r="15" spans="1:15" ht="16.5" thickBot="1" x14ac:dyDescent="0.3">
      <c r="A15" s="109"/>
      <c r="B15" s="106" t="s">
        <v>32</v>
      </c>
      <c r="C15" s="113">
        <f>SUM(C11:C14)</f>
        <v>113223</v>
      </c>
      <c r="E15" s="106" t="s">
        <v>39</v>
      </c>
      <c r="F15" s="113">
        <f>F12+F14-F13</f>
        <v>113223</v>
      </c>
      <c r="G15" s="107"/>
      <c r="J15" s="181"/>
      <c r="K15" s="217"/>
      <c r="L15" s="147"/>
    </row>
    <row r="16" spans="1:15" ht="16.5" thickTop="1" x14ac:dyDescent="0.25">
      <c r="A16" s="109"/>
      <c r="C16" s="108"/>
      <c r="F16" s="108"/>
      <c r="G16" s="107"/>
      <c r="J16" s="181"/>
      <c r="K16" s="217"/>
      <c r="L16" s="147"/>
    </row>
    <row r="17" spans="1:12" x14ac:dyDescent="0.25">
      <c r="A17" s="109"/>
      <c r="B17" s="99" t="s">
        <v>18</v>
      </c>
      <c r="C17" s="108"/>
      <c r="F17" s="119"/>
      <c r="G17" s="120"/>
      <c r="J17" s="181"/>
      <c r="K17" s="217"/>
      <c r="L17" s="147"/>
    </row>
    <row r="18" spans="1:12" ht="16.5" thickBot="1" x14ac:dyDescent="0.3">
      <c r="B18" s="99" t="s">
        <v>19</v>
      </c>
      <c r="C18" s="113">
        <v>86304.14</v>
      </c>
      <c r="F18" s="108"/>
      <c r="G18" s="108"/>
      <c r="H18" s="108"/>
      <c r="I18" s="115"/>
      <c r="J18" s="181"/>
      <c r="K18" s="217"/>
      <c r="L18" s="147"/>
    </row>
    <row r="19" spans="1:12" ht="16.5" thickTop="1" x14ac:dyDescent="0.25">
      <c r="A19" s="109"/>
      <c r="B19" s="99" t="s">
        <v>20</v>
      </c>
      <c r="C19" s="108">
        <f>+Receipts!M59</f>
        <v>72395.87</v>
      </c>
      <c r="F19" s="108"/>
      <c r="G19" s="108"/>
      <c r="J19" s="181"/>
      <c r="K19" s="217"/>
      <c r="L19" s="147"/>
    </row>
    <row r="20" spans="1:12" x14ac:dyDescent="0.25">
      <c r="B20" s="99" t="s">
        <v>21</v>
      </c>
      <c r="C20" s="108">
        <f>+Payments!C128</f>
        <v>45477.01</v>
      </c>
      <c r="F20" s="108"/>
      <c r="G20" s="116"/>
      <c r="J20" s="181"/>
      <c r="K20" s="217"/>
      <c r="L20" s="147"/>
    </row>
    <row r="21" spans="1:12" ht="14.25" customHeight="1" x14ac:dyDescent="0.25">
      <c r="C21" s="108"/>
      <c r="F21" s="108"/>
      <c r="G21" s="107"/>
      <c r="J21" s="181"/>
      <c r="K21" s="217"/>
      <c r="L21" s="147"/>
    </row>
    <row r="22" spans="1:12" ht="16.5" thickBot="1" x14ac:dyDescent="0.3">
      <c r="B22" s="106" t="s">
        <v>33</v>
      </c>
      <c r="C22" s="113">
        <f>+C18+C19-C20</f>
        <v>113223</v>
      </c>
      <c r="F22" s="108"/>
      <c r="G22" s="107"/>
      <c r="J22" s="181"/>
      <c r="K22" s="217"/>
      <c r="L22" s="147"/>
    </row>
    <row r="23" spans="1:12" ht="16.5" thickTop="1" x14ac:dyDescent="0.25">
      <c r="C23" s="108"/>
      <c r="D23" s="99" t="s">
        <v>29</v>
      </c>
      <c r="E23" s="117"/>
      <c r="F23" s="108"/>
      <c r="G23" s="107"/>
      <c r="J23" s="181"/>
      <c r="K23" s="217"/>
      <c r="L23" s="147"/>
    </row>
    <row r="24" spans="1:12" x14ac:dyDescent="0.25">
      <c r="B24" s="99" t="s">
        <v>42</v>
      </c>
      <c r="C24" s="108">
        <f>C15-C22</f>
        <v>0</v>
      </c>
      <c r="D24" s="117"/>
      <c r="F24" s="108"/>
      <c r="G24" s="107"/>
      <c r="J24" s="181"/>
      <c r="K24" s="217"/>
      <c r="L24" s="147"/>
    </row>
    <row r="25" spans="1:12" x14ac:dyDescent="0.25">
      <c r="C25" s="108"/>
      <c r="D25" s="117"/>
      <c r="E25" s="117">
        <f>F15-C15</f>
        <v>0</v>
      </c>
      <c r="F25" s="108"/>
      <c r="G25" s="107"/>
      <c r="J25" s="181"/>
      <c r="K25" s="217"/>
      <c r="L25" s="147"/>
    </row>
    <row r="26" spans="1:12" x14ac:dyDescent="0.25">
      <c r="C26" s="100"/>
      <c r="E26" s="117"/>
      <c r="F26" s="108"/>
      <c r="G26" s="114"/>
      <c r="J26" s="181"/>
      <c r="K26" s="217"/>
      <c r="L26" s="147"/>
    </row>
    <row r="27" spans="1:12" x14ac:dyDescent="0.25">
      <c r="C27" s="100"/>
      <c r="F27" s="108"/>
      <c r="G27" s="107"/>
      <c r="J27" s="181"/>
      <c r="K27" s="217"/>
      <c r="L27" s="147"/>
    </row>
    <row r="28" spans="1:12" ht="8.25" customHeight="1" x14ac:dyDescent="0.25">
      <c r="C28" s="100"/>
      <c r="E28" s="117"/>
      <c r="J28" s="181"/>
      <c r="K28" s="217"/>
      <c r="L28" s="147"/>
    </row>
    <row r="29" spans="1:12" x14ac:dyDescent="0.25">
      <c r="C29" s="100"/>
      <c r="D29" s="118"/>
      <c r="J29" s="181"/>
      <c r="K29" s="217"/>
      <c r="L29" s="147"/>
    </row>
    <row r="30" spans="1:12" x14ac:dyDescent="0.25">
      <c r="D30" s="117"/>
      <c r="J30" s="181"/>
      <c r="K30" s="217"/>
      <c r="L30" s="147"/>
    </row>
    <row r="31" spans="1:12" x14ac:dyDescent="0.25">
      <c r="C31" s="117"/>
      <c r="J31" s="181"/>
      <c r="K31" s="217"/>
      <c r="L31" s="147"/>
    </row>
    <row r="32" spans="1:12" x14ac:dyDescent="0.25">
      <c r="J32" s="181"/>
      <c r="K32" s="217"/>
      <c r="L32" s="147"/>
    </row>
    <row r="33" spans="3:14" x14ac:dyDescent="0.25">
      <c r="C33" s="117"/>
      <c r="J33" s="181"/>
      <c r="K33" s="217"/>
      <c r="L33" s="147"/>
    </row>
    <row r="34" spans="3:14" x14ac:dyDescent="0.25">
      <c r="J34" s="181"/>
      <c r="K34" s="217"/>
      <c r="L34" s="147"/>
    </row>
    <row r="35" spans="3:14" x14ac:dyDescent="0.25">
      <c r="J35" s="181"/>
      <c r="K35" s="217"/>
      <c r="L35" s="147"/>
    </row>
    <row r="36" spans="3:14" x14ac:dyDescent="0.25">
      <c r="N36" s="100"/>
    </row>
  </sheetData>
  <sheetProtection algorithmName="SHA-512" hashValue="11SAH/n267fn5Etdmxl1tsJIKfoB+IN6zDK5EpTQVashLM1ghgvY0ed80Y+q6SAwirVeZ7Ne0In/aywaYZLCBQ==" saltValue="w32Dgt6LkDU2202qHmWWOA==" spinCount="100000" sheet="1" objects="1" scenarios="1"/>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oddHeader xml:space="preserve">&amp;LNassington Parish Council
Northamptonshire&amp;C
Bank Reconciliation
&amp;RAccounts to y/e 31 Mar 2021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sheetPr>
  <dimension ref="C2:F19"/>
  <sheetViews>
    <sheetView showGridLines="0" workbookViewId="0">
      <selection activeCell="D29" sqref="D29"/>
    </sheetView>
  </sheetViews>
  <sheetFormatPr defaultColWidth="9.140625" defaultRowHeight="15" x14ac:dyDescent="0.25"/>
  <cols>
    <col min="1" max="2" width="9.140625" style="208"/>
    <col min="3" max="3" width="34.140625" style="208" bestFit="1" customWidth="1"/>
    <col min="4" max="4" width="24.5703125" style="208" bestFit="1" customWidth="1"/>
    <col min="5" max="5" width="12.85546875" style="209" bestFit="1" customWidth="1"/>
    <col min="6" max="6" width="11.5703125" style="208" bestFit="1" customWidth="1"/>
    <col min="7" max="16384" width="9.140625" style="208"/>
  </cols>
  <sheetData>
    <row r="2" spans="3:6" x14ac:dyDescent="0.25">
      <c r="C2" s="208" t="s">
        <v>191</v>
      </c>
      <c r="D2" s="208" t="s">
        <v>192</v>
      </c>
      <c r="E2" s="209">
        <f>Balances!F6</f>
        <v>2572.58</v>
      </c>
    </row>
    <row r="3" spans="3:6" x14ac:dyDescent="0.25">
      <c r="C3" s="208" t="s">
        <v>193</v>
      </c>
      <c r="D3" s="208" t="s">
        <v>194</v>
      </c>
      <c r="E3" s="209">
        <f>Balances!F7</f>
        <v>60008.9</v>
      </c>
    </row>
    <row r="4" spans="3:6" x14ac:dyDescent="0.25">
      <c r="D4" s="208" t="s">
        <v>629</v>
      </c>
      <c r="E4" s="209">
        <f>Balances!F9</f>
        <v>50130.22</v>
      </c>
    </row>
    <row r="5" spans="3:6" x14ac:dyDescent="0.25">
      <c r="D5" s="208" t="s">
        <v>335</v>
      </c>
      <c r="E5" s="209">
        <f>Balances!C14</f>
        <v>511.3</v>
      </c>
    </row>
    <row r="6" spans="3:6" ht="15.75" thickBot="1" x14ac:dyDescent="0.3">
      <c r="E6" s="210">
        <f>SUM(E2:E5)</f>
        <v>113223</v>
      </c>
    </row>
    <row r="7" spans="3:6" ht="15.75" thickTop="1" x14ac:dyDescent="0.25"/>
    <row r="8" spans="3:6" x14ac:dyDescent="0.25">
      <c r="C8" s="208" t="s">
        <v>220</v>
      </c>
      <c r="E8" s="209">
        <f>Balances!C7</f>
        <v>0</v>
      </c>
    </row>
    <row r="9" spans="3:6" x14ac:dyDescent="0.25">
      <c r="C9" s="208" t="s">
        <v>221</v>
      </c>
    </row>
    <row r="10" spans="3:6" x14ac:dyDescent="0.25">
      <c r="C10" s="208" t="s">
        <v>196</v>
      </c>
      <c r="E10" s="209">
        <v>0</v>
      </c>
    </row>
    <row r="11" spans="3:6" x14ac:dyDescent="0.25">
      <c r="E11" s="209">
        <v>0</v>
      </c>
    </row>
    <row r="12" spans="3:6" x14ac:dyDescent="0.25">
      <c r="C12" s="208" t="s">
        <v>197</v>
      </c>
      <c r="D12" s="1088" t="s">
        <v>195</v>
      </c>
    </row>
    <row r="13" spans="3:6" ht="30" x14ac:dyDescent="0.25">
      <c r="C13" s="211" t="s">
        <v>198</v>
      </c>
      <c r="D13" s="1088"/>
    </row>
    <row r="14" spans="3:6" x14ac:dyDescent="0.25">
      <c r="E14" s="209">
        <f>E6+E9-E8</f>
        <v>113223</v>
      </c>
      <c r="F14" s="212">
        <f>E14</f>
        <v>113223</v>
      </c>
    </row>
    <row r="15" spans="3:6" x14ac:dyDescent="0.25">
      <c r="E15" s="208"/>
    </row>
    <row r="16" spans="3:6" x14ac:dyDescent="0.25">
      <c r="C16" s="208" t="s">
        <v>6</v>
      </c>
    </row>
    <row r="17" spans="3:6" ht="30" x14ac:dyDescent="0.25">
      <c r="C17" s="211" t="s">
        <v>635</v>
      </c>
      <c r="E17" s="214">
        <f>+'Audit reconciliation'!E11</f>
        <v>113223</v>
      </c>
      <c r="F17" s="215">
        <f>E17</f>
        <v>113223</v>
      </c>
    </row>
    <row r="19" spans="3:6" ht="30" x14ac:dyDescent="0.25">
      <c r="C19" s="211" t="s">
        <v>634</v>
      </c>
      <c r="E19" s="213" t="str">
        <f>IF(E17=E14,"yes","no")</f>
        <v>yes</v>
      </c>
    </row>
  </sheetData>
  <sheetProtection algorithmName="SHA-512" hashValue="nBCDKwayuWnofo6DVSEGzEN/ftzh+gjgOTrudOqG7Rr1kj/keUJ3FIW0YaFO1VptxX+Y7eXXR3MswGNkeAXV7g==" saltValue="xUbOpQe7yLk5iyBliOLj0Q==" spinCount="100000" sheet="1" objects="1" scenarios="1"/>
  <mergeCells count="1">
    <mergeCell ref="D12:D13"/>
  </mergeCells>
  <printOptions horizontalCentered="1" verticalCentered="1"/>
  <pageMargins left="0" right="0" top="0.78740157480314965" bottom="0.59055118110236227" header="0.51181102362204722" footer="0.51181102362204722"/>
  <pageSetup paperSize="9" orientation="portrait" r:id="rId1"/>
  <headerFooter alignWithMargins="0">
    <oddHeader xml:space="preserve">&amp;LNorthamptonshire
NO164&amp;CNassington Parish Council
Audit Bank Reconciliation &amp;RAccounts to y/e 31 March 2021
</oddHead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FC8B4-3430-4542-A6B4-A7B0198BC025}">
  <sheetPr>
    <tabColor theme="8" tint="0.39997558519241921"/>
    <pageSetUpPr fitToPage="1"/>
  </sheetPr>
  <dimension ref="A2:P43"/>
  <sheetViews>
    <sheetView showGridLines="0" workbookViewId="0">
      <pane xSplit="2" ySplit="3" topLeftCell="C4" activePane="bottomRight" state="frozen"/>
      <selection activeCell="E22" sqref="E22"/>
      <selection pane="topRight" activeCell="E22" sqref="E22"/>
      <selection pane="bottomLeft" activeCell="E22" sqref="E22"/>
      <selection pane="bottomRight" activeCell="C7" sqref="C7"/>
    </sheetView>
  </sheetViews>
  <sheetFormatPr defaultRowHeight="12.75" x14ac:dyDescent="0.2"/>
  <cols>
    <col min="1" max="1" width="7.7109375" style="330" bestFit="1" customWidth="1"/>
    <col min="2" max="2" width="13.42578125" style="333" customWidth="1"/>
    <col min="3" max="3" width="33.42578125" style="330" customWidth="1"/>
    <col min="4" max="4" width="9.7109375" style="330" customWidth="1"/>
    <col min="5" max="7" width="9.140625" style="330"/>
    <col min="8" max="9" width="12.7109375" style="330" customWidth="1"/>
    <col min="10" max="10" width="11.42578125" style="331" customWidth="1"/>
    <col min="11" max="11" width="9.140625" style="331"/>
    <col min="12" max="12" width="3" style="330" customWidth="1"/>
    <col min="13" max="13" width="2.28515625" style="330" customWidth="1"/>
    <col min="14" max="14" width="0.140625" style="332" customWidth="1"/>
    <col min="15" max="15" width="9.140625" style="330" hidden="1" customWidth="1"/>
    <col min="16" max="16" width="14" style="330" bestFit="1" customWidth="1"/>
    <col min="17" max="16384" width="9.140625" style="330"/>
  </cols>
  <sheetData>
    <row r="2" spans="1:16" s="300" customFormat="1" ht="20.100000000000001" customHeight="1" x14ac:dyDescent="0.2">
      <c r="B2" s="301"/>
      <c r="J2" s="302"/>
      <c r="K2" s="302"/>
      <c r="N2" s="303"/>
    </row>
    <row r="3" spans="1:16" s="300" customFormat="1" ht="34.5" customHeight="1" x14ac:dyDescent="0.2">
      <c r="B3" s="304" t="s">
        <v>317</v>
      </c>
      <c r="C3" s="305" t="s">
        <v>4</v>
      </c>
      <c r="D3" s="306" t="s">
        <v>318</v>
      </c>
      <c r="E3" s="306" t="s">
        <v>319</v>
      </c>
      <c r="F3" s="307" t="s">
        <v>12</v>
      </c>
      <c r="G3" s="308"/>
      <c r="H3" s="308"/>
      <c r="I3" s="308"/>
      <c r="J3" s="308"/>
      <c r="K3" s="308"/>
      <c r="N3" s="303"/>
    </row>
    <row r="4" spans="1:16" s="309" customFormat="1" ht="20.100000000000001" customHeight="1" x14ac:dyDescent="0.2">
      <c r="B4" s="310"/>
      <c r="C4" s="311" t="s">
        <v>371</v>
      </c>
      <c r="D4" s="312"/>
      <c r="E4" s="312"/>
      <c r="F4" s="312">
        <v>197.54</v>
      </c>
      <c r="G4" s="313"/>
      <c r="H4" s="313"/>
      <c r="I4" s="313"/>
      <c r="J4" s="313"/>
      <c r="K4" s="314"/>
      <c r="L4" s="314"/>
      <c r="N4" s="315"/>
      <c r="P4" s="316"/>
    </row>
    <row r="5" spans="1:16" s="309" customFormat="1" ht="20.100000000000001" customHeight="1" x14ac:dyDescent="0.2">
      <c r="B5" s="310"/>
      <c r="C5" s="919" t="s">
        <v>466</v>
      </c>
      <c r="D5" s="312"/>
      <c r="E5" s="312">
        <v>8.5</v>
      </c>
      <c r="F5" s="312">
        <f>F4-E5+D5</f>
        <v>189.04</v>
      </c>
      <c r="G5" s="313"/>
      <c r="H5" s="313"/>
      <c r="I5" s="313"/>
      <c r="J5" s="317"/>
      <c r="K5" s="318"/>
      <c r="N5" s="315"/>
      <c r="P5" s="316"/>
    </row>
    <row r="6" spans="1:16" s="309" customFormat="1" ht="20.100000000000001" customHeight="1" x14ac:dyDescent="0.2">
      <c r="B6" s="310"/>
      <c r="C6" s="919" t="s">
        <v>466</v>
      </c>
      <c r="D6" s="312"/>
      <c r="E6" s="312">
        <v>8.5</v>
      </c>
      <c r="F6" s="312">
        <f t="shared" ref="F6:F33" si="0">F5-E6+D6</f>
        <v>180.54</v>
      </c>
      <c r="G6" s="313"/>
      <c r="H6" s="313"/>
      <c r="I6" s="313"/>
      <c r="J6" s="317"/>
      <c r="K6" s="318"/>
      <c r="N6" s="315"/>
      <c r="P6" s="316"/>
    </row>
    <row r="7" spans="1:16" s="309" customFormat="1" ht="20.100000000000001" customHeight="1" x14ac:dyDescent="0.2">
      <c r="B7" s="310"/>
      <c r="C7" s="919" t="s">
        <v>312</v>
      </c>
      <c r="D7" s="312"/>
      <c r="E7" s="312">
        <v>3.4</v>
      </c>
      <c r="F7" s="312">
        <f t="shared" si="0"/>
        <v>177.14</v>
      </c>
      <c r="G7" s="313"/>
      <c r="H7" s="313"/>
      <c r="I7" s="319"/>
      <c r="J7" s="320"/>
      <c r="K7" s="320"/>
      <c r="L7" s="319"/>
    </row>
    <row r="8" spans="1:16" s="309" customFormat="1" ht="20.100000000000001" customHeight="1" x14ac:dyDescent="0.2">
      <c r="A8" s="321"/>
      <c r="B8" s="310"/>
      <c r="C8" s="919" t="s">
        <v>467</v>
      </c>
      <c r="D8" s="312"/>
      <c r="E8" s="312">
        <v>49.99</v>
      </c>
      <c r="F8" s="918">
        <f t="shared" si="0"/>
        <v>127.15</v>
      </c>
      <c r="G8" s="313"/>
      <c r="H8" s="334"/>
      <c r="I8" s="320"/>
      <c r="J8" s="320"/>
      <c r="K8" s="320"/>
      <c r="L8" s="320"/>
      <c r="M8" s="320"/>
      <c r="N8" s="320"/>
      <c r="O8" s="320"/>
    </row>
    <row r="9" spans="1:16" s="309" customFormat="1" ht="20.100000000000001" customHeight="1" x14ac:dyDescent="0.2">
      <c r="B9" s="310" t="s">
        <v>469</v>
      </c>
      <c r="C9" s="311" t="s">
        <v>470</v>
      </c>
      <c r="D9" s="312"/>
      <c r="E9" s="312">
        <v>59.46</v>
      </c>
      <c r="F9" s="312">
        <f t="shared" si="0"/>
        <v>67.69</v>
      </c>
      <c r="G9" s="313"/>
      <c r="H9" s="334"/>
      <c r="I9" s="320"/>
      <c r="J9" s="320"/>
      <c r="K9" s="320"/>
      <c r="L9" s="320"/>
      <c r="M9" s="320"/>
      <c r="N9" s="320"/>
      <c r="O9" s="320"/>
    </row>
    <row r="10" spans="1:16" s="309" customFormat="1" ht="20.100000000000001" customHeight="1" x14ac:dyDescent="0.2">
      <c r="B10" s="310"/>
      <c r="C10" s="920" t="s">
        <v>496</v>
      </c>
      <c r="D10" s="312"/>
      <c r="E10" s="312">
        <v>13.48</v>
      </c>
      <c r="F10" s="312">
        <f t="shared" si="0"/>
        <v>54.21</v>
      </c>
      <c r="G10" s="313"/>
      <c r="H10" s="319"/>
      <c r="I10" s="319"/>
      <c r="J10" s="320"/>
      <c r="K10" s="320"/>
      <c r="L10" s="319"/>
    </row>
    <row r="11" spans="1:16" s="309" customFormat="1" ht="20.100000000000001" customHeight="1" x14ac:dyDescent="0.2">
      <c r="B11" s="310" t="s">
        <v>518</v>
      </c>
      <c r="C11" s="311" t="s">
        <v>497</v>
      </c>
      <c r="D11" s="312"/>
      <c r="E11" s="312">
        <v>54.42</v>
      </c>
      <c r="F11" s="312">
        <f t="shared" si="0"/>
        <v>-0.21</v>
      </c>
      <c r="G11" s="313"/>
      <c r="H11" s="320"/>
      <c r="I11" s="320"/>
      <c r="J11" s="320"/>
      <c r="K11" s="320"/>
      <c r="L11" s="320"/>
    </row>
    <row r="12" spans="1:16" s="309" customFormat="1" ht="20.100000000000001" customHeight="1" x14ac:dyDescent="0.2">
      <c r="A12" s="321"/>
      <c r="B12" s="310"/>
      <c r="C12" s="921" t="s">
        <v>519</v>
      </c>
      <c r="D12" s="312">
        <v>250</v>
      </c>
      <c r="E12" s="312"/>
      <c r="F12" s="312">
        <f t="shared" si="0"/>
        <v>249.79</v>
      </c>
      <c r="G12" s="313"/>
      <c r="H12" s="319"/>
      <c r="I12" s="1089"/>
      <c r="J12" s="1090"/>
      <c r="K12" s="320"/>
      <c r="L12" s="319"/>
    </row>
    <row r="13" spans="1:16" s="309" customFormat="1" ht="20.100000000000001" customHeight="1" x14ac:dyDescent="0.2">
      <c r="B13" s="310"/>
      <c r="C13" s="306" t="s">
        <v>522</v>
      </c>
      <c r="D13" s="312"/>
      <c r="E13" s="312">
        <v>178.99</v>
      </c>
      <c r="F13" s="312">
        <f t="shared" si="0"/>
        <v>70.8</v>
      </c>
      <c r="G13" s="313"/>
      <c r="H13" s="320"/>
      <c r="I13" s="320"/>
      <c r="J13" s="320"/>
      <c r="K13" s="320"/>
      <c r="L13" s="320"/>
    </row>
    <row r="14" spans="1:16" s="309" customFormat="1" ht="20.100000000000001" customHeight="1" x14ac:dyDescent="0.2">
      <c r="B14" s="310" t="s">
        <v>588</v>
      </c>
      <c r="C14" s="311"/>
      <c r="D14" s="312">
        <v>500</v>
      </c>
      <c r="E14" s="312"/>
      <c r="F14" s="312">
        <f t="shared" si="0"/>
        <v>570.79999999999995</v>
      </c>
      <c r="G14" s="313"/>
      <c r="H14" s="319"/>
      <c r="I14" s="322"/>
      <c r="J14" s="320"/>
      <c r="K14" s="320"/>
      <c r="L14" s="319"/>
    </row>
    <row r="15" spans="1:16" s="309" customFormat="1" ht="20.100000000000001" customHeight="1" x14ac:dyDescent="0.2">
      <c r="B15" s="310"/>
      <c r="C15" s="311" t="s">
        <v>628</v>
      </c>
      <c r="D15" s="312"/>
      <c r="E15" s="312">
        <v>59.5</v>
      </c>
      <c r="F15" s="312">
        <f t="shared" si="0"/>
        <v>511.3</v>
      </c>
      <c r="G15" s="313"/>
      <c r="H15" s="320"/>
      <c r="I15" s="320"/>
      <c r="J15" s="320"/>
      <c r="K15" s="320"/>
      <c r="L15" s="320"/>
    </row>
    <row r="16" spans="1:16" s="309" customFormat="1" ht="20.100000000000001" customHeight="1" x14ac:dyDescent="0.2">
      <c r="B16" s="310"/>
      <c r="C16" s="311"/>
      <c r="D16" s="312"/>
      <c r="E16" s="312"/>
      <c r="F16" s="312">
        <f t="shared" si="0"/>
        <v>511.3</v>
      </c>
      <c r="G16" s="313"/>
      <c r="H16" s="320"/>
      <c r="I16" s="320"/>
      <c r="J16" s="320"/>
      <c r="K16" s="320"/>
      <c r="L16" s="320"/>
    </row>
    <row r="17" spans="1:16" s="309" customFormat="1" ht="20.100000000000001" customHeight="1" x14ac:dyDescent="0.2">
      <c r="B17" s="310"/>
      <c r="C17" s="311"/>
      <c r="D17" s="312"/>
      <c r="E17" s="312"/>
      <c r="F17" s="312">
        <f t="shared" si="0"/>
        <v>511.3</v>
      </c>
      <c r="G17" s="313"/>
      <c r="H17" s="320"/>
      <c r="I17" s="319"/>
      <c r="J17" s="320"/>
      <c r="K17" s="320"/>
      <c r="L17" s="319"/>
    </row>
    <row r="18" spans="1:16" s="309" customFormat="1" ht="20.100000000000001" customHeight="1" x14ac:dyDescent="0.2">
      <c r="B18" s="310"/>
      <c r="C18" s="311"/>
      <c r="D18" s="312"/>
      <c r="E18" s="312"/>
      <c r="F18" s="312">
        <f t="shared" si="0"/>
        <v>511.3</v>
      </c>
      <c r="G18" s="313"/>
      <c r="H18" s="313"/>
      <c r="I18" s="313"/>
      <c r="J18" s="317"/>
      <c r="K18" s="318"/>
      <c r="N18" s="315"/>
      <c r="P18" s="316"/>
    </row>
    <row r="19" spans="1:16" s="309" customFormat="1" ht="20.100000000000001" customHeight="1" x14ac:dyDescent="0.2">
      <c r="B19" s="310"/>
      <c r="C19" s="311"/>
      <c r="D19" s="312"/>
      <c r="E19" s="312"/>
      <c r="F19" s="312">
        <f t="shared" si="0"/>
        <v>511.3</v>
      </c>
      <c r="G19" s="313"/>
      <c r="H19" s="313"/>
      <c r="I19" s="313"/>
      <c r="J19" s="317"/>
      <c r="K19" s="318"/>
      <c r="L19" s="314"/>
      <c r="N19" s="315"/>
      <c r="P19" s="316"/>
    </row>
    <row r="20" spans="1:16" s="309" customFormat="1" ht="20.100000000000001" customHeight="1" x14ac:dyDescent="0.2">
      <c r="B20" s="310"/>
      <c r="C20" s="311"/>
      <c r="D20" s="312"/>
      <c r="E20" s="312"/>
      <c r="F20" s="312">
        <f t="shared" si="0"/>
        <v>511.3</v>
      </c>
      <c r="G20" s="313"/>
      <c r="H20" s="313"/>
      <c r="I20" s="313"/>
      <c r="J20" s="317"/>
      <c r="K20" s="323"/>
      <c r="L20" s="314"/>
      <c r="N20" s="315"/>
      <c r="P20" s="316"/>
    </row>
    <row r="21" spans="1:16" s="309" customFormat="1" ht="20.100000000000001" customHeight="1" x14ac:dyDescent="0.2">
      <c r="B21" s="310"/>
      <c r="C21" s="311"/>
      <c r="D21" s="312"/>
      <c r="E21" s="312"/>
      <c r="F21" s="312">
        <f t="shared" si="0"/>
        <v>511.3</v>
      </c>
      <c r="G21" s="313"/>
      <c r="H21" s="313"/>
      <c r="I21" s="313"/>
      <c r="J21" s="317"/>
      <c r="K21" s="318"/>
      <c r="N21" s="315"/>
      <c r="P21" s="316"/>
    </row>
    <row r="22" spans="1:16" s="309" customFormat="1" ht="20.100000000000001" customHeight="1" x14ac:dyDescent="0.2">
      <c r="B22" s="310"/>
      <c r="C22" s="311"/>
      <c r="D22" s="312"/>
      <c r="E22" s="312"/>
      <c r="F22" s="312">
        <f t="shared" si="0"/>
        <v>511.3</v>
      </c>
      <c r="G22" s="313"/>
      <c r="H22" s="313"/>
      <c r="I22" s="313"/>
      <c r="J22" s="317"/>
      <c r="K22" s="318"/>
      <c r="L22" s="314"/>
      <c r="N22" s="315"/>
      <c r="P22" s="316"/>
    </row>
    <row r="23" spans="1:16" s="309" customFormat="1" ht="20.100000000000001" customHeight="1" x14ac:dyDescent="0.2">
      <c r="B23" s="310"/>
      <c r="C23" s="311"/>
      <c r="D23" s="312"/>
      <c r="E23" s="312"/>
      <c r="F23" s="312">
        <f t="shared" si="0"/>
        <v>511.3</v>
      </c>
      <c r="G23" s="313"/>
      <c r="H23" s="313"/>
      <c r="I23" s="313"/>
      <c r="J23" s="317"/>
      <c r="K23" s="318"/>
      <c r="N23" s="315"/>
      <c r="P23" s="316"/>
    </row>
    <row r="24" spans="1:16" s="309" customFormat="1" ht="20.100000000000001" customHeight="1" x14ac:dyDescent="0.2">
      <c r="B24" s="310"/>
      <c r="C24" s="311"/>
      <c r="D24" s="312"/>
      <c r="E24" s="312"/>
      <c r="F24" s="312">
        <f t="shared" si="0"/>
        <v>511.3</v>
      </c>
      <c r="G24" s="313"/>
      <c r="H24" s="313"/>
      <c r="I24" s="313"/>
      <c r="J24" s="317"/>
      <c r="K24" s="318"/>
      <c r="N24" s="315"/>
      <c r="P24" s="316"/>
    </row>
    <row r="25" spans="1:16" s="309" customFormat="1" ht="20.100000000000001" customHeight="1" x14ac:dyDescent="0.2">
      <c r="B25" s="310"/>
      <c r="C25" s="311"/>
      <c r="D25" s="312"/>
      <c r="E25" s="312"/>
      <c r="F25" s="312">
        <f t="shared" si="0"/>
        <v>511.3</v>
      </c>
      <c r="G25" s="313"/>
      <c r="H25" s="313"/>
      <c r="I25" s="313"/>
      <c r="J25" s="317"/>
      <c r="K25" s="318"/>
      <c r="N25" s="315"/>
      <c r="P25" s="316"/>
    </row>
    <row r="26" spans="1:16" s="309" customFormat="1" ht="20.100000000000001" customHeight="1" x14ac:dyDescent="0.2">
      <c r="B26" s="685"/>
      <c r="C26" s="312"/>
      <c r="D26" s="312"/>
      <c r="E26" s="312"/>
      <c r="F26" s="686">
        <f t="shared" si="0"/>
        <v>511.3</v>
      </c>
      <c r="G26" s="313"/>
      <c r="H26" s="313"/>
      <c r="I26" s="313"/>
      <c r="J26" s="317"/>
      <c r="K26" s="318"/>
      <c r="M26" s="314"/>
      <c r="N26" s="315"/>
      <c r="P26" s="316"/>
    </row>
    <row r="27" spans="1:16" s="309" customFormat="1" ht="20.100000000000001" customHeight="1" x14ac:dyDescent="0.2">
      <c r="B27" s="685"/>
      <c r="C27" s="312"/>
      <c r="D27" s="312"/>
      <c r="E27" s="312"/>
      <c r="F27" s="686">
        <f t="shared" si="0"/>
        <v>511.3</v>
      </c>
      <c r="G27" s="313"/>
      <c r="H27" s="313"/>
      <c r="I27" s="313"/>
      <c r="J27" s="317"/>
      <c r="K27" s="318"/>
      <c r="N27" s="315"/>
      <c r="P27" s="316"/>
    </row>
    <row r="28" spans="1:16" s="309" customFormat="1" ht="20.100000000000001" customHeight="1" x14ac:dyDescent="0.2">
      <c r="B28" s="685"/>
      <c r="C28" s="312"/>
      <c r="D28" s="312"/>
      <c r="E28" s="312"/>
      <c r="F28" s="686">
        <f t="shared" si="0"/>
        <v>511.3</v>
      </c>
      <c r="G28" s="313"/>
      <c r="H28" s="313"/>
      <c r="I28" s="313"/>
      <c r="J28" s="317"/>
      <c r="K28" s="318"/>
      <c r="N28" s="315"/>
      <c r="P28" s="316"/>
    </row>
    <row r="29" spans="1:16" s="309" customFormat="1" ht="20.100000000000001" customHeight="1" x14ac:dyDescent="0.2">
      <c r="B29" s="685"/>
      <c r="C29" s="312"/>
      <c r="D29" s="312"/>
      <c r="E29" s="312"/>
      <c r="F29" s="686">
        <f t="shared" si="0"/>
        <v>511.3</v>
      </c>
      <c r="G29" s="313"/>
      <c r="H29" s="313"/>
      <c r="I29" s="313"/>
      <c r="J29" s="317"/>
      <c r="K29" s="318"/>
      <c r="L29" s="314"/>
      <c r="N29" s="315"/>
      <c r="P29" s="316"/>
    </row>
    <row r="30" spans="1:16" s="309" customFormat="1" ht="20.100000000000001" customHeight="1" x14ac:dyDescent="0.2">
      <c r="A30" s="314"/>
      <c r="B30" s="685"/>
      <c r="C30" s="312"/>
      <c r="D30" s="312"/>
      <c r="E30" s="312"/>
      <c r="F30" s="686">
        <f t="shared" si="0"/>
        <v>511.3</v>
      </c>
      <c r="G30" s="313"/>
      <c r="H30" s="313"/>
      <c r="I30" s="313"/>
      <c r="J30" s="317"/>
      <c r="K30" s="318"/>
      <c r="N30" s="315"/>
      <c r="P30" s="316"/>
    </row>
    <row r="31" spans="1:16" s="309" customFormat="1" ht="20.100000000000001" customHeight="1" x14ac:dyDescent="0.2">
      <c r="A31" s="314"/>
      <c r="B31" s="685"/>
      <c r="C31" s="312"/>
      <c r="D31" s="312"/>
      <c r="E31" s="312"/>
      <c r="F31" s="686">
        <f t="shared" si="0"/>
        <v>511.3</v>
      </c>
      <c r="G31" s="313"/>
      <c r="H31" s="313"/>
      <c r="I31" s="313"/>
      <c r="J31" s="317"/>
      <c r="K31" s="318"/>
      <c r="N31" s="315"/>
      <c r="P31" s="316"/>
    </row>
    <row r="32" spans="1:16" s="309" customFormat="1" ht="20.100000000000001" customHeight="1" x14ac:dyDescent="0.2">
      <c r="A32" s="314"/>
      <c r="B32" s="908"/>
      <c r="C32" s="909"/>
      <c r="D32" s="312"/>
      <c r="E32" s="312"/>
      <c r="F32" s="686">
        <f t="shared" si="0"/>
        <v>511.3</v>
      </c>
      <c r="G32" s="313"/>
      <c r="H32" s="313"/>
      <c r="I32" s="313"/>
      <c r="J32" s="317"/>
      <c r="K32" s="318"/>
      <c r="N32" s="315"/>
      <c r="P32" s="324"/>
    </row>
    <row r="33" spans="1:16" s="309" customFormat="1" ht="20.100000000000001" customHeight="1" x14ac:dyDescent="0.2">
      <c r="A33" s="314"/>
      <c r="B33" s="908"/>
      <c r="C33" s="909"/>
      <c r="D33" s="312"/>
      <c r="E33" s="312"/>
      <c r="F33" s="686">
        <f t="shared" si="0"/>
        <v>511.3</v>
      </c>
      <c r="G33" s="313"/>
      <c r="H33" s="313"/>
      <c r="I33" s="313"/>
      <c r="J33" s="317"/>
      <c r="K33" s="318"/>
      <c r="N33" s="315"/>
      <c r="P33" s="324"/>
    </row>
    <row r="34" spans="1:16" s="316" customFormat="1" x14ac:dyDescent="0.2">
      <c r="B34" s="910"/>
      <c r="C34" s="911"/>
      <c r="D34" s="328"/>
      <c r="E34" s="328"/>
      <c r="F34" s="328">
        <f>F33+D34-E34</f>
        <v>511.3</v>
      </c>
      <c r="J34" s="327"/>
      <c r="K34" s="327"/>
      <c r="N34" s="326"/>
    </row>
    <row r="35" spans="1:16" s="316" customFormat="1" x14ac:dyDescent="0.2">
      <c r="B35" s="329"/>
      <c r="E35" s="325"/>
      <c r="F35" s="325"/>
      <c r="G35" s="325"/>
      <c r="H35" s="325"/>
      <c r="J35" s="327"/>
      <c r="K35" s="327"/>
      <c r="N35" s="326"/>
    </row>
    <row r="36" spans="1:16" s="316" customFormat="1" x14ac:dyDescent="0.2">
      <c r="B36" s="329"/>
      <c r="J36" s="327"/>
      <c r="K36" s="327"/>
      <c r="N36" s="326"/>
    </row>
    <row r="37" spans="1:16" s="316" customFormat="1" x14ac:dyDescent="0.2">
      <c r="B37" s="329"/>
      <c r="E37" s="325"/>
      <c r="G37" s="325"/>
      <c r="J37" s="327"/>
      <c r="K37" s="327"/>
      <c r="N37" s="326"/>
    </row>
    <row r="38" spans="1:16" s="316" customFormat="1" x14ac:dyDescent="0.2">
      <c r="B38" s="329"/>
      <c r="G38" s="325"/>
      <c r="J38" s="327"/>
      <c r="K38" s="327"/>
      <c r="N38" s="326"/>
    </row>
    <row r="39" spans="1:16" s="316" customFormat="1" x14ac:dyDescent="0.2">
      <c r="B39" s="329"/>
      <c r="E39" s="325"/>
      <c r="J39" s="327"/>
      <c r="K39" s="327"/>
      <c r="N39" s="326"/>
    </row>
    <row r="40" spans="1:16" s="316" customFormat="1" x14ac:dyDescent="0.2">
      <c r="B40" s="329"/>
      <c r="G40" s="325"/>
      <c r="J40" s="327"/>
      <c r="K40" s="327"/>
      <c r="N40" s="326"/>
    </row>
    <row r="41" spans="1:16" s="316" customFormat="1" x14ac:dyDescent="0.2">
      <c r="B41" s="329"/>
      <c r="J41" s="327"/>
      <c r="K41" s="327"/>
      <c r="N41" s="326"/>
    </row>
    <row r="42" spans="1:16" x14ac:dyDescent="0.2">
      <c r="B42" s="329"/>
      <c r="C42" s="316"/>
      <c r="D42" s="316"/>
      <c r="E42" s="316"/>
      <c r="F42" s="316"/>
    </row>
    <row r="43" spans="1:16" x14ac:dyDescent="0.2">
      <c r="B43" s="329"/>
      <c r="C43" s="316"/>
      <c r="D43" s="316"/>
      <c r="E43" s="316"/>
      <c r="F43" s="316"/>
    </row>
  </sheetData>
  <sheetProtection algorithmName="SHA-512" hashValue="6UKel7eEg43Bn+67ti/6VRs6wfkZBmGesnL4YbSXSNsNLkRvG7wr7Fuc2xS1fk9yiaOWivTauhE6FmYssLKqOA==" saltValue="C0uqfQbr7zYVDb6gNtOfTQ==" spinCount="100000" sheet="1" objects="1" scenarios="1"/>
  <mergeCells count="1">
    <mergeCell ref="I12:J12"/>
  </mergeCells>
  <hyperlinks>
    <hyperlink ref="C5" r:id="rId1" xr:uid="{EC22C61F-249F-4E4C-AFB1-27720CEAC334}"/>
    <hyperlink ref="C6" r:id="rId2" xr:uid="{5F200D73-A285-45BE-B2AC-350E8327BAA1}"/>
    <hyperlink ref="C7" r:id="rId3" xr:uid="{DF41625A-4D0B-4678-9290-F40BDAB4C611}"/>
    <hyperlink ref="C8" r:id="rId4" xr:uid="{62902B29-5387-49C1-8D71-DAD1944F86DC}"/>
  </hyperlinks>
  <printOptions horizontalCentered="1" verticalCentered="1"/>
  <pageMargins left="0" right="0" top="0.74803149606299213" bottom="0.74803149606299213" header="0.31496062992125984" footer="0.31496062992125984"/>
  <pageSetup paperSize="9" scale="80" fitToHeight="0" orientation="portrait" horizontalDpi="4294967292" verticalDpi="120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T21"/>
  <sheetViews>
    <sheetView zoomScaleNormal="100" workbookViewId="0">
      <selection activeCell="E22" sqref="E22"/>
    </sheetView>
  </sheetViews>
  <sheetFormatPr defaultRowHeight="12.75" x14ac:dyDescent="0.2"/>
  <cols>
    <col min="1" max="1" width="9" style="984" bestFit="1" customWidth="1"/>
    <col min="2" max="2" width="9.140625" style="979"/>
    <col min="3" max="3" width="15.85546875" style="979" customWidth="1"/>
    <col min="4" max="5" width="13.7109375" style="979" customWidth="1"/>
    <col min="6" max="6" width="11.28515625" style="979" bestFit="1" customWidth="1"/>
    <col min="7" max="7" width="10.28515625" style="979" bestFit="1" customWidth="1"/>
    <col min="8" max="8" width="11.28515625" style="979" bestFit="1" customWidth="1"/>
    <col min="9" max="9" width="10.28515625" style="979" customWidth="1"/>
    <col min="10" max="10" width="11.28515625" style="979" bestFit="1" customWidth="1"/>
    <col min="11" max="11" width="9.28515625" style="979" customWidth="1"/>
    <col min="12" max="12" width="10.28515625" style="979" customWidth="1"/>
    <col min="13" max="13" width="11.140625" style="979" customWidth="1"/>
    <col min="14" max="14" width="10.28515625" style="979" customWidth="1"/>
    <col min="15" max="15" width="11.28515625" style="979" bestFit="1" customWidth="1"/>
    <col min="16" max="17" width="10.28515625" style="979" bestFit="1" customWidth="1"/>
    <col min="18" max="16384" width="9.140625" style="979"/>
  </cols>
  <sheetData>
    <row r="1" spans="1:20" x14ac:dyDescent="0.2">
      <c r="D1" s="1091" t="s">
        <v>180</v>
      </c>
      <c r="E1" s="1091"/>
      <c r="F1" s="1091" t="s">
        <v>575</v>
      </c>
      <c r="G1" s="1091"/>
    </row>
    <row r="2" spans="1:20" ht="25.5" x14ac:dyDescent="0.2">
      <c r="D2" s="980" t="s">
        <v>536</v>
      </c>
      <c r="E2" s="980" t="s">
        <v>537</v>
      </c>
      <c r="F2" s="980" t="s">
        <v>347</v>
      </c>
      <c r="G2" s="980" t="s">
        <v>574</v>
      </c>
      <c r="H2" s="1091" t="s">
        <v>332</v>
      </c>
      <c r="I2" s="1091"/>
      <c r="J2" s="1091"/>
      <c r="K2" s="981" t="s">
        <v>227</v>
      </c>
      <c r="L2" s="981" t="s">
        <v>228</v>
      </c>
      <c r="M2" s="1092" t="s">
        <v>342</v>
      </c>
      <c r="N2" s="1092"/>
      <c r="O2" s="1092"/>
      <c r="P2" s="1092"/>
      <c r="Q2" s="1092"/>
    </row>
    <row r="3" spans="1:20" ht="39.950000000000003" customHeight="1" x14ac:dyDescent="0.2">
      <c r="B3" s="982">
        <v>1</v>
      </c>
      <c r="C3" s="249" t="s">
        <v>181</v>
      </c>
      <c r="D3" s="588">
        <v>98036.31</v>
      </c>
      <c r="E3" s="251">
        <f>+D11</f>
        <v>86304.14</v>
      </c>
      <c r="F3" s="252">
        <f t="shared" ref="F3:G6" si="0">D3</f>
        <v>98036</v>
      </c>
      <c r="G3" s="252">
        <f t="shared" si="0"/>
        <v>86304</v>
      </c>
      <c r="H3" s="252">
        <f t="shared" ref="H3:I7" si="1">F3</f>
        <v>98036</v>
      </c>
      <c r="I3" s="252">
        <f t="shared" si="1"/>
        <v>86304</v>
      </c>
      <c r="J3" s="252"/>
      <c r="K3" s="250"/>
      <c r="L3" s="250"/>
      <c r="M3" s="250"/>
    </row>
    <row r="4" spans="1:20" ht="39.950000000000003" customHeight="1" x14ac:dyDescent="0.2">
      <c r="B4" s="982">
        <v>2</v>
      </c>
      <c r="C4" s="249" t="s">
        <v>182</v>
      </c>
      <c r="D4" s="588">
        <v>49755</v>
      </c>
      <c r="E4" s="251">
        <f>Receipts!E59</f>
        <v>49755</v>
      </c>
      <c r="F4" s="252">
        <f t="shared" si="0"/>
        <v>49755</v>
      </c>
      <c r="G4" s="252">
        <f t="shared" si="0"/>
        <v>49755</v>
      </c>
      <c r="H4" s="252">
        <f>F4</f>
        <v>49755</v>
      </c>
      <c r="I4" s="252">
        <f t="shared" si="1"/>
        <v>49755</v>
      </c>
      <c r="J4" s="252"/>
      <c r="K4" s="253">
        <f t="shared" ref="K4:K9" si="2">D4-E4</f>
        <v>0</v>
      </c>
      <c r="L4" s="254">
        <f>(E4-D4)/D4%</f>
        <v>0</v>
      </c>
      <c r="M4" s="250">
        <f>(D4+(D4*L4%))</f>
        <v>49755</v>
      </c>
      <c r="P4" s="251">
        <f>E4+E5</f>
        <v>72395.87</v>
      </c>
      <c r="Q4" s="251">
        <f>Receipts!M59</f>
        <v>72395.87</v>
      </c>
    </row>
    <row r="5" spans="1:20" ht="39.950000000000003" customHeight="1" x14ac:dyDescent="0.2">
      <c r="A5" s="985">
        <f>SUM(D4:D5)</f>
        <v>71238.69</v>
      </c>
      <c r="B5" s="982">
        <v>3</v>
      </c>
      <c r="C5" s="249" t="s">
        <v>183</v>
      </c>
      <c r="D5" s="589">
        <v>21483.69</v>
      </c>
      <c r="E5" s="251">
        <f>Receipts!N61</f>
        <v>22640.87</v>
      </c>
      <c r="F5" s="252">
        <f t="shared" si="0"/>
        <v>21484</v>
      </c>
      <c r="G5" s="252">
        <f t="shared" si="0"/>
        <v>22641</v>
      </c>
      <c r="H5" s="252">
        <f t="shared" si="1"/>
        <v>21484</v>
      </c>
      <c r="I5" s="252">
        <f t="shared" si="1"/>
        <v>22641</v>
      </c>
      <c r="J5" s="255"/>
      <c r="K5" s="253">
        <f t="shared" si="2"/>
        <v>-1157.18</v>
      </c>
      <c r="L5" s="256">
        <f>(D5-E5)/D5%</f>
        <v>-5.3860000000000001</v>
      </c>
      <c r="M5" s="250">
        <f>(D5-(D5*L5%))</f>
        <v>22640.799999999999</v>
      </c>
      <c r="N5" s="250"/>
      <c r="O5" s="250"/>
      <c r="P5" s="250"/>
      <c r="Q5" s="250"/>
      <c r="R5" s="250"/>
    </row>
    <row r="6" spans="1:20" ht="39.950000000000003" customHeight="1" x14ac:dyDescent="0.2">
      <c r="B6" s="982">
        <v>4</v>
      </c>
      <c r="C6" s="249" t="s">
        <v>184</v>
      </c>
      <c r="D6" s="591">
        <v>9935.6</v>
      </c>
      <c r="E6" s="251">
        <f>'Budget Analysis'!G22</f>
        <v>10727.96</v>
      </c>
      <c r="F6" s="252">
        <f t="shared" si="0"/>
        <v>9936</v>
      </c>
      <c r="G6" s="252">
        <f t="shared" si="0"/>
        <v>10728</v>
      </c>
      <c r="H6" s="252">
        <f t="shared" si="1"/>
        <v>9936</v>
      </c>
      <c r="I6" s="252">
        <f t="shared" si="1"/>
        <v>10728</v>
      </c>
      <c r="J6" s="252"/>
      <c r="K6" s="253">
        <f t="shared" si="2"/>
        <v>-792.36</v>
      </c>
      <c r="L6" s="254">
        <f>(D6-E6)/D6%</f>
        <v>-7.9749999999999996</v>
      </c>
      <c r="M6" s="250">
        <f>(D6-(D6*L6%))</f>
        <v>10727.96</v>
      </c>
      <c r="P6" s="251">
        <f>E6+E8</f>
        <v>45477.01</v>
      </c>
      <c r="Q6" s="251">
        <f>Payments!C128</f>
        <v>45477.01</v>
      </c>
    </row>
    <row r="7" spans="1:20" ht="39.950000000000003" customHeight="1" x14ac:dyDescent="0.2">
      <c r="B7" s="982">
        <v>5</v>
      </c>
      <c r="C7" s="249" t="s">
        <v>185</v>
      </c>
      <c r="D7" s="250"/>
      <c r="E7" s="251"/>
      <c r="F7" s="252">
        <f t="shared" ref="F7:F12" si="3">D7</f>
        <v>0</v>
      </c>
      <c r="G7" s="252">
        <f>E7</f>
        <v>0</v>
      </c>
      <c r="H7" s="252">
        <f t="shared" si="1"/>
        <v>0</v>
      </c>
      <c r="I7" s="252">
        <f t="shared" si="1"/>
        <v>0</v>
      </c>
      <c r="J7" s="252"/>
      <c r="K7" s="253">
        <f t="shared" si="2"/>
        <v>0</v>
      </c>
      <c r="L7" s="253"/>
      <c r="M7" s="250"/>
    </row>
    <row r="8" spans="1:20" ht="39.950000000000003" customHeight="1" x14ac:dyDescent="0.2">
      <c r="A8" s="985">
        <f>SUM(D6:D8)</f>
        <v>82970.86</v>
      </c>
      <c r="B8" s="982">
        <v>6</v>
      </c>
      <c r="C8" s="249" t="s">
        <v>186</v>
      </c>
      <c r="D8" s="588">
        <v>73035.259999999995</v>
      </c>
      <c r="E8" s="363">
        <f>Payments!C128-'Budget Analysis'!G22</f>
        <v>34749.050000000003</v>
      </c>
      <c r="F8" s="252">
        <f t="shared" si="3"/>
        <v>73035</v>
      </c>
      <c r="G8" s="252">
        <f>E8</f>
        <v>34749</v>
      </c>
      <c r="H8" s="252">
        <f>F8</f>
        <v>73035</v>
      </c>
      <c r="I8" s="252">
        <f>G8</f>
        <v>34749</v>
      </c>
      <c r="J8" s="255">
        <f>SUM(E6:E8)</f>
        <v>45477.01</v>
      </c>
      <c r="K8" s="253">
        <f t="shared" si="2"/>
        <v>38286.21</v>
      </c>
      <c r="L8" s="254">
        <f>(D8-E8)/D8%</f>
        <v>52.421500000000002</v>
      </c>
      <c r="M8" s="250">
        <f>(D8-(D8*L8%))</f>
        <v>34749.08</v>
      </c>
      <c r="N8" s="983">
        <f>H8-I8</f>
        <v>38286</v>
      </c>
      <c r="O8" s="251">
        <f>D8*L8%</f>
        <v>38286.18</v>
      </c>
    </row>
    <row r="9" spans="1:20" ht="39.950000000000003" customHeight="1" x14ac:dyDescent="0.2">
      <c r="A9" s="986"/>
      <c r="B9" s="982">
        <v>7</v>
      </c>
      <c r="C9" s="249" t="s">
        <v>187</v>
      </c>
      <c r="D9" s="762">
        <f>D3+D4+D5-D6-D8</f>
        <v>86304.14</v>
      </c>
      <c r="E9" s="250">
        <f>E3+E4+E5-E6-E8</f>
        <v>113223</v>
      </c>
      <c r="F9" s="252">
        <f t="shared" si="3"/>
        <v>86304</v>
      </c>
      <c r="G9" s="252">
        <f>E9</f>
        <v>113223</v>
      </c>
      <c r="H9" s="250">
        <f>H3+H4+H5-H6-H8</f>
        <v>86304</v>
      </c>
      <c r="I9" s="252">
        <f>I3+I4+I5-I6-I8</f>
        <v>113223</v>
      </c>
      <c r="J9" s="250">
        <f>G3+G4+G5-G6-G8</f>
        <v>113223</v>
      </c>
      <c r="K9" s="253">
        <f t="shared" si="2"/>
        <v>-26918.86</v>
      </c>
      <c r="L9" s="256">
        <f>(D9-E9)/D9%</f>
        <v>-31.190999999999999</v>
      </c>
      <c r="M9" s="250">
        <f>(D9-(D9*L9%))</f>
        <v>113223.26</v>
      </c>
    </row>
    <row r="10" spans="1:20" ht="15.75" customHeight="1" x14ac:dyDescent="0.2">
      <c r="B10" s="982"/>
      <c r="C10" s="249"/>
      <c r="D10" s="590"/>
      <c r="E10" s="251"/>
      <c r="F10" s="252">
        <f t="shared" si="3"/>
        <v>0</v>
      </c>
      <c r="H10" s="252">
        <f>H9-F9</f>
        <v>0</v>
      </c>
      <c r="I10" s="252">
        <f>I9-G9</f>
        <v>0</v>
      </c>
      <c r="J10" s="252"/>
      <c r="K10" s="250"/>
      <c r="L10" s="250"/>
      <c r="M10" s="250"/>
    </row>
    <row r="11" spans="1:20" ht="39.950000000000003" customHeight="1" x14ac:dyDescent="0.2">
      <c r="B11" s="982">
        <v>8</v>
      </c>
      <c r="C11" s="249" t="s">
        <v>188</v>
      </c>
      <c r="D11" s="591">
        <f>Balances!C18</f>
        <v>86304.14</v>
      </c>
      <c r="E11" s="251">
        <f>Balances!C22</f>
        <v>113223</v>
      </c>
      <c r="F11" s="252">
        <f t="shared" si="3"/>
        <v>86304</v>
      </c>
      <c r="G11" s="252">
        <f>E11</f>
        <v>113223</v>
      </c>
      <c r="H11" s="252"/>
      <c r="I11" s="252"/>
      <c r="J11" s="252"/>
      <c r="K11" s="250"/>
      <c r="L11" s="250"/>
      <c r="M11" s="250"/>
      <c r="O11" s="251"/>
      <c r="S11" s="251"/>
      <c r="T11" s="251"/>
    </row>
    <row r="12" spans="1:20" ht="39.950000000000003" customHeight="1" x14ac:dyDescent="0.2">
      <c r="B12" s="982">
        <v>9</v>
      </c>
      <c r="C12" s="249" t="s">
        <v>189</v>
      </c>
      <c r="D12" s="592">
        <v>185720</v>
      </c>
      <c r="E12" s="251">
        <f>'Asset Register'!H92</f>
        <v>219835.41</v>
      </c>
      <c r="F12" s="252">
        <f t="shared" si="3"/>
        <v>185720</v>
      </c>
      <c r="G12" s="252">
        <f>E12</f>
        <v>219835</v>
      </c>
      <c r="H12" s="250"/>
      <c r="I12" s="250"/>
      <c r="J12" s="250"/>
      <c r="K12" s="253">
        <f>D12-E12</f>
        <v>-34115.410000000003</v>
      </c>
      <c r="L12" s="256">
        <f>(D12-E12)/D12%</f>
        <v>-18.369</v>
      </c>
      <c r="M12" s="250">
        <f>(D12-(D12*L12%))</f>
        <v>219834.91</v>
      </c>
    </row>
    <row r="13" spans="1:20" ht="39.950000000000003" customHeight="1" x14ac:dyDescent="0.2">
      <c r="B13" s="982">
        <v>10</v>
      </c>
      <c r="C13" s="249" t="s">
        <v>190</v>
      </c>
      <c r="D13" s="250"/>
      <c r="F13" s="250"/>
      <c r="G13" s="250"/>
      <c r="H13" s="250"/>
      <c r="I13" s="250"/>
      <c r="J13" s="250"/>
      <c r="K13" s="250"/>
      <c r="L13" s="250"/>
      <c r="M13" s="250"/>
    </row>
    <row r="14" spans="1:20" ht="18" customHeight="1" x14ac:dyDescent="0.2">
      <c r="E14" s="251">
        <f>E11-E9</f>
        <v>0</v>
      </c>
      <c r="G14" s="251">
        <f>G11-G9</f>
        <v>0</v>
      </c>
    </row>
    <row r="15" spans="1:20" ht="18" customHeight="1" x14ac:dyDescent="0.2">
      <c r="E15" s="251"/>
      <c r="F15" s="251"/>
    </row>
    <row r="16" spans="1:20" ht="18" customHeight="1" x14ac:dyDescent="0.2">
      <c r="E16" s="251"/>
      <c r="F16" s="251"/>
      <c r="G16" s="251"/>
    </row>
    <row r="17" spans="5:6" ht="18" customHeight="1" x14ac:dyDescent="0.2">
      <c r="E17" s="251"/>
    </row>
    <row r="18" spans="5:6" ht="18" customHeight="1" x14ac:dyDescent="0.2"/>
    <row r="19" spans="5:6" ht="18" customHeight="1" x14ac:dyDescent="0.2">
      <c r="F19" s="251"/>
    </row>
    <row r="20" spans="5:6" ht="18" customHeight="1" x14ac:dyDescent="0.2"/>
    <row r="21" spans="5:6" ht="18" customHeight="1" x14ac:dyDescent="0.2">
      <c r="F21" s="251"/>
    </row>
  </sheetData>
  <sheetProtection algorithmName="SHA-512" hashValue="nsot4x9xfaMQcCZ3k9mOM4iszsEDHXofzvAJ5AFFaXYxeA/yv7X/nH1dtcCrwcJQ8cgBkFdUZSPYthPIlgltkg==" saltValue="+K6fMFCrddAFgB4N42whWw==" spinCount="100000" sheet="1" objects="1" scenarios="1"/>
  <mergeCells count="4">
    <mergeCell ref="D1:E1"/>
    <mergeCell ref="M2:Q2"/>
    <mergeCell ref="F1:G1"/>
    <mergeCell ref="H2:J2"/>
  </mergeCells>
  <printOptions horizontalCentered="1" verticalCentered="1"/>
  <pageMargins left="0" right="0" top="0.78740157480314965" bottom="0.59055118110236227" header="0.51181102362204722" footer="0.51181102362204722"/>
  <pageSetup paperSize="9" scale="97" fitToHeight="0" orientation="landscape" horizontalDpi="300" verticalDpi="300" r:id="rId1"/>
  <headerFooter alignWithMargins="0">
    <oddHeader xml:space="preserve">&amp;CNassington Parish Council 
Reconciliation workings&amp;RAccounts to y/e 31 March 2021
</oddHead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6EC51-EEA5-43ED-8376-04021D93DF64}">
  <sheetPr>
    <tabColor indexed="51"/>
    <pageSetUpPr fitToPage="1"/>
  </sheetPr>
  <dimension ref="A2:R171"/>
  <sheetViews>
    <sheetView showGridLines="0" zoomScale="85" zoomScaleNormal="85" workbookViewId="0">
      <pane ySplit="4" topLeftCell="A20" activePane="bottomLeft" state="frozen"/>
      <selection activeCell="E22" sqref="E22"/>
      <selection pane="bottomLeft" activeCell="M41" sqref="M41"/>
    </sheetView>
  </sheetViews>
  <sheetFormatPr defaultColWidth="9.140625" defaultRowHeight="15" x14ac:dyDescent="0.25"/>
  <cols>
    <col min="1" max="1" width="5.85546875" style="756" customWidth="1"/>
    <col min="2" max="2" width="21.28515625" style="756" customWidth="1"/>
    <col min="3" max="3" width="11.85546875" style="757" customWidth="1"/>
    <col min="4" max="4" width="12.28515625" style="757" bestFit="1" customWidth="1"/>
    <col min="5" max="5" width="11.85546875" style="756" customWidth="1"/>
    <col min="6" max="6" width="10.42578125" style="757" bestFit="1" customWidth="1"/>
    <col min="7" max="7" width="84.42578125" style="756" customWidth="1"/>
    <col min="8" max="8" width="28" style="756" bestFit="1" customWidth="1"/>
    <col min="9" max="9" width="10" style="756" bestFit="1" customWidth="1"/>
    <col min="10" max="10" width="11.5703125" style="756" bestFit="1" customWidth="1"/>
    <col min="11" max="11" width="10.85546875" style="756" customWidth="1"/>
    <col min="12" max="12" width="11" style="756" customWidth="1"/>
    <col min="13" max="13" width="11.5703125" style="756" bestFit="1" customWidth="1"/>
    <col min="14" max="14" width="32.7109375" style="756" bestFit="1" customWidth="1"/>
    <col min="15" max="15" width="10.5703125" style="756" bestFit="1" customWidth="1"/>
    <col min="16" max="16" width="0" style="756" hidden="1" customWidth="1"/>
    <col min="17" max="17" width="9.5703125" style="756" bestFit="1" customWidth="1"/>
    <col min="18" max="16384" width="9.140625" style="756"/>
  </cols>
  <sheetData>
    <row r="2" spans="1:17" x14ac:dyDescent="0.25">
      <c r="B2" s="879"/>
      <c r="C2" s="880"/>
      <c r="D2" s="880"/>
      <c r="E2" s="879"/>
      <c r="F2" s="880"/>
      <c r="G2" s="879"/>
      <c r="J2" s="879"/>
    </row>
    <row r="3" spans="1:17" ht="15" customHeight="1" x14ac:dyDescent="0.25">
      <c r="B3" s="1106" t="s">
        <v>199</v>
      </c>
      <c r="C3" s="1108" t="s">
        <v>200</v>
      </c>
      <c r="D3" s="1108" t="s">
        <v>201</v>
      </c>
      <c r="E3" s="877" t="s">
        <v>202</v>
      </c>
      <c r="F3" s="878" t="s">
        <v>202</v>
      </c>
      <c r="G3" s="877" t="s">
        <v>203</v>
      </c>
      <c r="H3" s="1110" t="s">
        <v>204</v>
      </c>
      <c r="I3" s="1112" t="s">
        <v>205</v>
      </c>
      <c r="J3" s="1110" t="s">
        <v>202</v>
      </c>
      <c r="K3" s="1113" t="s">
        <v>401</v>
      </c>
      <c r="L3" s="1093" t="s">
        <v>402</v>
      </c>
    </row>
    <row r="4" spans="1:17" x14ac:dyDescent="0.25">
      <c r="B4" s="1107"/>
      <c r="C4" s="1109"/>
      <c r="D4" s="1109"/>
      <c r="E4" s="876" t="s">
        <v>206</v>
      </c>
      <c r="F4" s="876" t="s">
        <v>207</v>
      </c>
      <c r="G4" s="875" t="s">
        <v>208</v>
      </c>
      <c r="H4" s="1111"/>
      <c r="I4" s="1111"/>
      <c r="J4" s="1111"/>
      <c r="K4" s="1114"/>
      <c r="L4" s="1094"/>
    </row>
    <row r="5" spans="1:17" x14ac:dyDescent="0.25">
      <c r="B5" s="841" t="s">
        <v>209</v>
      </c>
      <c r="C5" s="874">
        <v>49755</v>
      </c>
      <c r="D5" s="874">
        <f>'Audit reconciliation'!E4</f>
        <v>49755</v>
      </c>
      <c r="E5" s="233">
        <f>+D5-C5</f>
        <v>0</v>
      </c>
      <c r="F5" s="234">
        <f>(D5-C5)/C5%</f>
        <v>0</v>
      </c>
      <c r="G5" s="839"/>
      <c r="H5" s="838"/>
      <c r="I5" s="873">
        <f>J5/K5%</f>
        <v>0</v>
      </c>
      <c r="J5" s="872">
        <f t="shared" ref="J5:J14" si="0">L5-K5</f>
        <v>0</v>
      </c>
      <c r="K5" s="235">
        <f>'Budget Analysis'!G5</f>
        <v>49755</v>
      </c>
      <c r="L5" s="866">
        <f>Receipts!E59</f>
        <v>49755</v>
      </c>
    </row>
    <row r="6" spans="1:17" x14ac:dyDescent="0.25">
      <c r="A6" s="1095"/>
      <c r="B6" s="1096" t="s">
        <v>210</v>
      </c>
      <c r="C6" s="1099">
        <f>'Audit reconciliation'!D5</f>
        <v>21484</v>
      </c>
      <c r="D6" s="1099">
        <f>'Audit reconciliation'!E5</f>
        <v>22641</v>
      </c>
      <c r="E6" s="1099">
        <f>D6-C6</f>
        <v>1157</v>
      </c>
      <c r="F6" s="1103">
        <f>(D6-C6)/C6*100</f>
        <v>5.39</v>
      </c>
      <c r="G6" s="871"/>
      <c r="H6" s="870" t="s">
        <v>30</v>
      </c>
      <c r="I6" s="869">
        <f>J6/L6</f>
        <v>0.44700000000000001</v>
      </c>
      <c r="J6" s="868">
        <f t="shared" si="0"/>
        <v>75.61</v>
      </c>
      <c r="K6" s="867">
        <v>93.47</v>
      </c>
      <c r="L6" s="866">
        <f>Receipts!F59</f>
        <v>169.08</v>
      </c>
      <c r="M6" s="758"/>
    </row>
    <row r="7" spans="1:17" x14ac:dyDescent="0.25">
      <c r="A7" s="1095"/>
      <c r="B7" s="1097"/>
      <c r="C7" s="1100"/>
      <c r="D7" s="1102"/>
      <c r="E7" s="1102"/>
      <c r="F7" s="1104"/>
      <c r="G7" s="859"/>
      <c r="H7" s="858" t="s">
        <v>27</v>
      </c>
      <c r="I7" s="865">
        <f>J7/L7</f>
        <v>-0.219</v>
      </c>
      <c r="J7" s="856">
        <f t="shared" si="0"/>
        <v>-64</v>
      </c>
      <c r="K7" s="855">
        <v>356</v>
      </c>
      <c r="L7" s="854">
        <f>Receipts!G59</f>
        <v>292</v>
      </c>
      <c r="N7" s="758"/>
    </row>
    <row r="8" spans="1:17" x14ac:dyDescent="0.25">
      <c r="A8" s="1095"/>
      <c r="B8" s="1097"/>
      <c r="C8" s="1100"/>
      <c r="D8" s="1102"/>
      <c r="E8" s="1102"/>
      <c r="F8" s="1104"/>
      <c r="G8" s="815"/>
      <c r="H8" s="864" t="s">
        <v>241</v>
      </c>
      <c r="I8" s="863"/>
      <c r="J8" s="862">
        <f t="shared" ref="J8" si="1">L8-K8</f>
        <v>0</v>
      </c>
      <c r="K8" s="861">
        <v>0</v>
      </c>
      <c r="L8" s="860">
        <f>[8]Receipts!H59</f>
        <v>0</v>
      </c>
    </row>
    <row r="9" spans="1:17" x14ac:dyDescent="0.25">
      <c r="A9" s="1095"/>
      <c r="B9" s="1097"/>
      <c r="C9" s="1100"/>
      <c r="D9" s="1102"/>
      <c r="E9" s="1102"/>
      <c r="F9" s="1104"/>
      <c r="G9" s="859"/>
      <c r="H9" s="858" t="s">
        <v>224</v>
      </c>
      <c r="I9" s="865">
        <f>J9/L9</f>
        <v>1</v>
      </c>
      <c r="J9" s="856">
        <f t="shared" ref="J9" si="2">L9-K9</f>
        <v>49.63</v>
      </c>
      <c r="K9" s="855">
        <v>0</v>
      </c>
      <c r="L9" s="854">
        <f>Receipts!J59</f>
        <v>49.63</v>
      </c>
      <c r="N9" s="760"/>
    </row>
    <row r="10" spans="1:17" x14ac:dyDescent="0.25">
      <c r="A10" s="1095"/>
      <c r="B10" s="1097"/>
      <c r="C10" s="1100"/>
      <c r="D10" s="1102"/>
      <c r="E10" s="1102"/>
      <c r="F10" s="1104"/>
      <c r="G10" s="815" t="s">
        <v>559</v>
      </c>
      <c r="H10" s="864" t="s">
        <v>5</v>
      </c>
      <c r="I10" s="863"/>
      <c r="J10" s="862">
        <f t="shared" si="0"/>
        <v>10620.04</v>
      </c>
      <c r="K10" s="861">
        <v>0</v>
      </c>
      <c r="L10" s="860">
        <f>Receipts!L59</f>
        <v>10620.04</v>
      </c>
    </row>
    <row r="11" spans="1:17" x14ac:dyDescent="0.25">
      <c r="A11" s="771"/>
      <c r="B11" s="1097"/>
      <c r="C11" s="1100"/>
      <c r="D11" s="1102"/>
      <c r="E11" s="1102"/>
      <c r="F11" s="1104"/>
      <c r="G11" s="859"/>
      <c r="H11" s="858" t="s">
        <v>290</v>
      </c>
      <c r="I11" s="857"/>
      <c r="J11" s="856">
        <f t="shared" si="0"/>
        <v>-534.22</v>
      </c>
      <c r="K11" s="855">
        <v>534.22</v>
      </c>
      <c r="L11" s="854"/>
      <c r="M11" s="843"/>
      <c r="N11" s="843"/>
    </row>
    <row r="12" spans="1:17" x14ac:dyDescent="0.25">
      <c r="A12" s="771"/>
      <c r="B12" s="1098"/>
      <c r="C12" s="1101"/>
      <c r="D12" s="1101"/>
      <c r="E12" s="1101"/>
      <c r="F12" s="1105"/>
      <c r="G12" s="853" t="s">
        <v>561</v>
      </c>
      <c r="H12" s="852" t="s">
        <v>291</v>
      </c>
      <c r="I12" s="999">
        <f>J12/L12</f>
        <v>0.78</v>
      </c>
      <c r="J12" s="851">
        <f>K12-L12</f>
        <v>8989.8799999999992</v>
      </c>
      <c r="K12" s="850">
        <v>20500</v>
      </c>
      <c r="L12" s="849">
        <f>Receipts!K59</f>
        <v>11510.12</v>
      </c>
      <c r="M12" s="843"/>
      <c r="N12" s="843"/>
      <c r="Q12" s="758"/>
    </row>
    <row r="13" spans="1:17" ht="13.5" customHeight="1" x14ac:dyDescent="0.25">
      <c r="A13" s="771"/>
      <c r="B13" s="848"/>
      <c r="C13" s="959"/>
      <c r="D13" s="847"/>
      <c r="E13" s="847"/>
      <c r="F13" s="753"/>
      <c r="G13" s="846"/>
      <c r="H13" s="845"/>
      <c r="I13" s="837">
        <f>J13/K13</f>
        <v>5.3999999999999999E-2</v>
      </c>
      <c r="J13" s="836">
        <f t="shared" si="0"/>
        <v>1157</v>
      </c>
      <c r="K13" s="844">
        <f>SUM(K6:K12)</f>
        <v>21484</v>
      </c>
      <c r="L13" s="844">
        <f>SUM(L6:L12)</f>
        <v>22641</v>
      </c>
      <c r="M13" s="758"/>
      <c r="N13" s="843"/>
      <c r="Q13" s="758"/>
    </row>
    <row r="14" spans="1:17" ht="24" customHeight="1" x14ac:dyDescent="0.25">
      <c r="A14" s="842"/>
      <c r="B14" s="841" t="s">
        <v>211</v>
      </c>
      <c r="C14" s="840">
        <v>9936</v>
      </c>
      <c r="D14" s="840">
        <f>'Audit reconciliation'!E6</f>
        <v>10728</v>
      </c>
      <c r="E14" s="233">
        <f>+D14-C14</f>
        <v>792</v>
      </c>
      <c r="F14" s="234">
        <f>(D14-C14)/C14%</f>
        <v>7.97</v>
      </c>
      <c r="G14" s="839"/>
      <c r="H14" s="838"/>
      <c r="I14" s="837">
        <f>J14/K14</f>
        <v>0.08</v>
      </c>
      <c r="J14" s="836">
        <f t="shared" si="0"/>
        <v>792</v>
      </c>
      <c r="K14" s="835">
        <v>9936</v>
      </c>
      <c r="L14" s="835">
        <f>'Budget Analysis'!G22</f>
        <v>10728</v>
      </c>
      <c r="N14" s="760"/>
    </row>
    <row r="15" spans="1:17" ht="15" customHeight="1" x14ac:dyDescent="0.25">
      <c r="A15" s="1117"/>
      <c r="B15" s="1118" t="s">
        <v>236</v>
      </c>
      <c r="C15" s="1120"/>
      <c r="D15" s="1120"/>
      <c r="E15" s="1120"/>
      <c r="F15" s="1120"/>
      <c r="G15" s="1121"/>
      <c r="H15" s="777"/>
      <c r="I15" s="775"/>
      <c r="J15" s="775"/>
      <c r="K15" s="775"/>
      <c r="L15" s="834"/>
    </row>
    <row r="16" spans="1:17" ht="15" customHeight="1" x14ac:dyDescent="0.25">
      <c r="A16" s="1117"/>
      <c r="B16" s="1119"/>
      <c r="C16" s="1122"/>
      <c r="D16" s="1122"/>
      <c r="E16" s="1122"/>
      <c r="F16" s="1122"/>
      <c r="G16" s="1123"/>
      <c r="H16" s="833"/>
      <c r="I16" s="832"/>
      <c r="J16" s="831"/>
      <c r="K16" s="830"/>
      <c r="L16" s="829"/>
    </row>
    <row r="17" spans="1:15" ht="15" customHeight="1" x14ac:dyDescent="0.25">
      <c r="A17" s="1117"/>
      <c r="B17" s="828"/>
      <c r="C17" s="827"/>
      <c r="D17" s="827"/>
      <c r="E17" s="826"/>
      <c r="F17" s="236"/>
      <c r="G17" s="825"/>
      <c r="H17" s="824" t="s">
        <v>204</v>
      </c>
      <c r="I17" s="823" t="s">
        <v>205</v>
      </c>
      <c r="J17" s="822" t="s">
        <v>301</v>
      </c>
      <c r="K17" s="821" t="s">
        <v>401</v>
      </c>
      <c r="L17" s="820" t="s">
        <v>402</v>
      </c>
      <c r="N17" s="759"/>
    </row>
    <row r="18" spans="1:15" x14ac:dyDescent="0.25">
      <c r="A18" s="1095"/>
      <c r="B18" s="1124" t="s">
        <v>212</v>
      </c>
      <c r="C18" s="1126">
        <v>73035</v>
      </c>
      <c r="D18" s="1128">
        <f>'Audit reconciliation'!G8</f>
        <v>34749</v>
      </c>
      <c r="E18" s="1130">
        <f>+D18-C18</f>
        <v>-38286</v>
      </c>
      <c r="F18" s="1132">
        <f>(D18-C18)/C18%</f>
        <v>-52.42</v>
      </c>
      <c r="G18" s="782" t="s">
        <v>548</v>
      </c>
      <c r="H18" s="781" t="s">
        <v>22</v>
      </c>
      <c r="I18" s="819">
        <f t="shared" ref="I18:I24" si="3">J18/K18</f>
        <v>1.5449999999999999</v>
      </c>
      <c r="J18" s="818">
        <f t="shared" ref="J18:J32" si="4">L18-K18</f>
        <v>590</v>
      </c>
      <c r="K18" s="817">
        <v>382</v>
      </c>
      <c r="L18" s="993">
        <v>972</v>
      </c>
      <c r="N18" s="759"/>
      <c r="O18" s="996"/>
    </row>
    <row r="19" spans="1:15" x14ac:dyDescent="0.25">
      <c r="A19" s="1095"/>
      <c r="B19" s="1125"/>
      <c r="C19" s="1127"/>
      <c r="D19" s="1129"/>
      <c r="E19" s="1131"/>
      <c r="F19" s="1133"/>
      <c r="G19" s="815" t="s">
        <v>540</v>
      </c>
      <c r="H19" s="813" t="s">
        <v>57</v>
      </c>
      <c r="I19" s="811">
        <f t="shared" si="3"/>
        <v>-0.76129999999999998</v>
      </c>
      <c r="J19" s="810">
        <f t="shared" si="4"/>
        <v>-118</v>
      </c>
      <c r="K19" s="809">
        <v>155</v>
      </c>
      <c r="L19" s="994">
        <v>37</v>
      </c>
      <c r="N19" s="759"/>
      <c r="O19" s="996"/>
    </row>
    <row r="20" spans="1:15" x14ac:dyDescent="0.25">
      <c r="A20" s="1095"/>
      <c r="B20" s="1125"/>
      <c r="C20" s="1127"/>
      <c r="D20" s="1129"/>
      <c r="E20" s="1131"/>
      <c r="F20" s="1133"/>
      <c r="G20" s="782" t="s">
        <v>541</v>
      </c>
      <c r="H20" s="781" t="s">
        <v>0</v>
      </c>
      <c r="I20" s="800">
        <f t="shared" si="3"/>
        <v>-0.64870000000000005</v>
      </c>
      <c r="J20" s="799">
        <f t="shared" si="4"/>
        <v>-1479</v>
      </c>
      <c r="K20" s="798">
        <v>2280</v>
      </c>
      <c r="L20" s="993">
        <v>801</v>
      </c>
      <c r="N20" s="759"/>
      <c r="O20" s="996"/>
    </row>
    <row r="21" spans="1:15" x14ac:dyDescent="0.25">
      <c r="A21" s="1095"/>
      <c r="B21" s="1125"/>
      <c r="C21" s="1127"/>
      <c r="D21" s="1129"/>
      <c r="E21" s="1131"/>
      <c r="F21" s="1133"/>
      <c r="G21" s="814"/>
      <c r="H21" s="813" t="s">
        <v>344</v>
      </c>
      <c r="I21" s="811">
        <f t="shared" si="3"/>
        <v>0.33739999999999998</v>
      </c>
      <c r="J21" s="810">
        <f t="shared" si="4"/>
        <v>137</v>
      </c>
      <c r="K21" s="809">
        <v>406</v>
      </c>
      <c r="L21" s="994">
        <v>543</v>
      </c>
      <c r="N21" s="759"/>
      <c r="O21" s="996"/>
    </row>
    <row r="22" spans="1:15" ht="30" x14ac:dyDescent="0.25">
      <c r="A22" s="1095"/>
      <c r="B22" s="1125"/>
      <c r="C22" s="1127"/>
      <c r="D22" s="1129"/>
      <c r="E22" s="1131"/>
      <c r="F22" s="1133"/>
      <c r="G22" s="957" t="s">
        <v>542</v>
      </c>
      <c r="H22" s="812" t="s">
        <v>247</v>
      </c>
      <c r="I22" s="800">
        <f t="shared" si="3"/>
        <v>2.6143000000000001</v>
      </c>
      <c r="J22" s="799">
        <f t="shared" si="4"/>
        <v>7043</v>
      </c>
      <c r="K22" s="798">
        <v>2694</v>
      </c>
      <c r="L22" s="993">
        <v>9737</v>
      </c>
      <c r="M22" s="767"/>
      <c r="N22" s="759"/>
      <c r="O22" s="998"/>
    </row>
    <row r="23" spans="1:15" ht="30" x14ac:dyDescent="0.25">
      <c r="A23" s="1095"/>
      <c r="B23" s="1125"/>
      <c r="C23" s="1127"/>
      <c r="D23" s="1129"/>
      <c r="E23" s="1131"/>
      <c r="F23" s="1133"/>
      <c r="G23" s="987" t="s">
        <v>563</v>
      </c>
      <c r="H23" s="988" t="s">
        <v>240</v>
      </c>
      <c r="I23" s="989">
        <f t="shared" si="3"/>
        <v>-0.74270000000000003</v>
      </c>
      <c r="J23" s="990">
        <f t="shared" si="4"/>
        <v>-4534</v>
      </c>
      <c r="K23" s="991">
        <v>6105</v>
      </c>
      <c r="L23" s="994">
        <v>1571</v>
      </c>
      <c r="M23" s="995"/>
      <c r="N23" s="759"/>
      <c r="O23" s="996"/>
    </row>
    <row r="24" spans="1:15" x14ac:dyDescent="0.25">
      <c r="A24" s="1095"/>
      <c r="B24" s="1125"/>
      <c r="C24" s="1127"/>
      <c r="D24" s="1129"/>
      <c r="E24" s="1131"/>
      <c r="F24" s="1133"/>
      <c r="G24" s="958" t="s">
        <v>543</v>
      </c>
      <c r="H24" s="781" t="s">
        <v>368</v>
      </c>
      <c r="I24" s="800" t="e">
        <f t="shared" si="3"/>
        <v>#DIV/0!</v>
      </c>
      <c r="J24" s="799">
        <f t="shared" ref="J24" si="5">L24-K24</f>
        <v>82</v>
      </c>
      <c r="K24" s="798">
        <v>0</v>
      </c>
      <c r="L24" s="993">
        <v>82</v>
      </c>
      <c r="N24" s="759"/>
      <c r="O24" s="996"/>
    </row>
    <row r="25" spans="1:15" x14ac:dyDescent="0.25">
      <c r="A25" s="1095"/>
      <c r="B25" s="1125"/>
      <c r="C25" s="1127"/>
      <c r="D25" s="1129"/>
      <c r="E25" s="1131"/>
      <c r="F25" s="1133"/>
      <c r="G25" s="791" t="s">
        <v>544</v>
      </c>
      <c r="H25" s="790" t="s">
        <v>23</v>
      </c>
      <c r="I25" s="811">
        <f>J25/K25</f>
        <v>0.2727</v>
      </c>
      <c r="J25" s="810">
        <f t="shared" si="4"/>
        <v>600</v>
      </c>
      <c r="K25" s="809">
        <v>2200</v>
      </c>
      <c r="L25" s="994">
        <v>2800</v>
      </c>
      <c r="N25" s="759"/>
      <c r="O25" s="996"/>
    </row>
    <row r="26" spans="1:15" x14ac:dyDescent="0.25">
      <c r="A26" s="1095"/>
      <c r="B26" s="1125"/>
      <c r="C26" s="1127"/>
      <c r="D26" s="1129"/>
      <c r="E26" s="1131"/>
      <c r="F26" s="1133"/>
      <c r="G26" s="782" t="s">
        <v>545</v>
      </c>
      <c r="H26" s="781" t="s">
        <v>1</v>
      </c>
      <c r="I26" s="800">
        <f>J26/K26</f>
        <v>-0.2974</v>
      </c>
      <c r="J26" s="799">
        <f t="shared" si="4"/>
        <v>-292</v>
      </c>
      <c r="K26" s="798">
        <v>982</v>
      </c>
      <c r="L26" s="993">
        <v>690</v>
      </c>
      <c r="N26" s="759"/>
      <c r="O26" s="996"/>
    </row>
    <row r="27" spans="1:15" x14ac:dyDescent="0.25">
      <c r="A27" s="1095"/>
      <c r="B27" s="1125"/>
      <c r="C27" s="1127"/>
      <c r="D27" s="1129"/>
      <c r="E27" s="1131"/>
      <c r="F27" s="1133"/>
      <c r="G27" s="791" t="s">
        <v>546</v>
      </c>
      <c r="H27" s="790" t="s">
        <v>24</v>
      </c>
      <c r="I27" s="811">
        <f>J27/K27</f>
        <v>-0.1996</v>
      </c>
      <c r="J27" s="810">
        <f t="shared" si="4"/>
        <v>-94</v>
      </c>
      <c r="K27" s="809">
        <v>471</v>
      </c>
      <c r="L27" s="994">
        <v>377</v>
      </c>
      <c r="N27" s="759"/>
      <c r="O27" s="996"/>
    </row>
    <row r="28" spans="1:15" x14ac:dyDescent="0.25">
      <c r="A28" s="1095"/>
      <c r="B28" s="1125"/>
      <c r="C28" s="1127"/>
      <c r="D28" s="1129"/>
      <c r="E28" s="1131"/>
      <c r="F28" s="1133"/>
      <c r="G28" s="782"/>
      <c r="H28" s="781" t="s">
        <v>2</v>
      </c>
      <c r="I28" s="800">
        <f>J28/K28</f>
        <v>-0.14910000000000001</v>
      </c>
      <c r="J28" s="799">
        <f t="shared" si="4"/>
        <v>-85</v>
      </c>
      <c r="K28" s="798">
        <v>570</v>
      </c>
      <c r="L28" s="993">
        <v>485</v>
      </c>
      <c r="N28" s="759"/>
      <c r="O28" s="996"/>
    </row>
    <row r="29" spans="1:15" ht="30" x14ac:dyDescent="0.25">
      <c r="A29" s="771"/>
      <c r="B29" s="1125"/>
      <c r="C29" s="1127"/>
      <c r="D29" s="1129"/>
      <c r="E29" s="1131"/>
      <c r="F29" s="1133"/>
      <c r="G29" s="791" t="s">
        <v>547</v>
      </c>
      <c r="H29" s="790" t="s">
        <v>25</v>
      </c>
      <c r="I29" s="811"/>
      <c r="J29" s="810">
        <f t="shared" si="4"/>
        <v>-119</v>
      </c>
      <c r="K29" s="809">
        <v>349</v>
      </c>
      <c r="L29" s="994">
        <v>230</v>
      </c>
      <c r="N29" s="759"/>
      <c r="O29" s="996"/>
    </row>
    <row r="30" spans="1:15" x14ac:dyDescent="0.25">
      <c r="A30" s="771"/>
      <c r="B30" s="1125"/>
      <c r="C30" s="1127"/>
      <c r="D30" s="1129"/>
      <c r="E30" s="1131"/>
      <c r="F30" s="1133"/>
      <c r="G30" s="782" t="s">
        <v>560</v>
      </c>
      <c r="H30" s="781" t="s">
        <v>345</v>
      </c>
      <c r="I30" s="800">
        <f>J30/K30</f>
        <v>0.46810000000000002</v>
      </c>
      <c r="J30" s="799">
        <f t="shared" si="4"/>
        <v>88</v>
      </c>
      <c r="K30" s="798">
        <v>188</v>
      </c>
      <c r="L30" s="993">
        <v>276</v>
      </c>
      <c r="N30" s="759"/>
      <c r="O30" s="996"/>
    </row>
    <row r="31" spans="1:15" x14ac:dyDescent="0.25">
      <c r="A31" s="771"/>
      <c r="B31" s="1125"/>
      <c r="C31" s="1127"/>
      <c r="D31" s="1129"/>
      <c r="E31" s="1131"/>
      <c r="F31" s="1133"/>
      <c r="G31" s="791"/>
      <c r="H31" s="790" t="s">
        <v>224</v>
      </c>
      <c r="I31" s="811">
        <f>J31/K31</f>
        <v>-1</v>
      </c>
      <c r="J31" s="810">
        <f t="shared" si="4"/>
        <v>-40</v>
      </c>
      <c r="K31" s="809">
        <v>40</v>
      </c>
      <c r="L31" s="992">
        <v>0</v>
      </c>
      <c r="N31" s="759"/>
    </row>
    <row r="32" spans="1:15" x14ac:dyDescent="0.25">
      <c r="A32" s="771"/>
      <c r="B32" s="1125"/>
      <c r="C32" s="1127"/>
      <c r="D32" s="1129"/>
      <c r="E32" s="1131"/>
      <c r="F32" s="1133"/>
      <c r="G32" s="782" t="s">
        <v>549</v>
      </c>
      <c r="H32" s="781" t="s">
        <v>550</v>
      </c>
      <c r="I32" s="800"/>
      <c r="J32" s="799">
        <f t="shared" si="4"/>
        <v>90</v>
      </c>
      <c r="K32" s="798">
        <v>0</v>
      </c>
      <c r="L32" s="816">
        <v>90</v>
      </c>
      <c r="N32" s="759"/>
    </row>
    <row r="33" spans="1:18" x14ac:dyDescent="0.25">
      <c r="A33" s="771"/>
      <c r="B33" s="1125"/>
      <c r="C33" s="1127"/>
      <c r="D33" s="1129"/>
      <c r="E33" s="1131"/>
      <c r="F33" s="1133"/>
      <c r="G33" s="808" t="s">
        <v>551</v>
      </c>
      <c r="H33" s="807" t="s">
        <v>346</v>
      </c>
      <c r="I33" s="804"/>
      <c r="J33" s="803"/>
      <c r="K33" s="802">
        <v>243</v>
      </c>
      <c r="L33" s="994">
        <v>115</v>
      </c>
      <c r="N33" s="759"/>
    </row>
    <row r="34" spans="1:18" x14ac:dyDescent="0.25">
      <c r="A34" s="771"/>
      <c r="B34" s="1125"/>
      <c r="C34" s="1127"/>
      <c r="D34" s="1129"/>
      <c r="E34" s="1131"/>
      <c r="F34" s="1133"/>
      <c r="G34" s="782" t="s">
        <v>552</v>
      </c>
      <c r="H34" s="781" t="s">
        <v>303</v>
      </c>
      <c r="I34" s="800">
        <f>J34/K34</f>
        <v>-1</v>
      </c>
      <c r="J34" s="799">
        <f>L34-K34</f>
        <v>-2700</v>
      </c>
      <c r="K34" s="798">
        <v>2700</v>
      </c>
      <c r="L34" s="816">
        <v>0</v>
      </c>
      <c r="N34" s="759"/>
    </row>
    <row r="35" spans="1:18" x14ac:dyDescent="0.25">
      <c r="A35" s="771"/>
      <c r="B35" s="1125"/>
      <c r="C35" s="1127"/>
      <c r="D35" s="1129"/>
      <c r="E35" s="1131"/>
      <c r="F35" s="1133"/>
      <c r="G35" s="806" t="s">
        <v>553</v>
      </c>
      <c r="H35" s="805" t="s">
        <v>233</v>
      </c>
      <c r="I35" s="804"/>
      <c r="J35" s="803">
        <f t="shared" ref="J35:J39" si="6">L35-K35</f>
        <v>53</v>
      </c>
      <c r="K35" s="802"/>
      <c r="L35" s="992">
        <v>53</v>
      </c>
      <c r="N35" s="759"/>
      <c r="O35" s="996"/>
    </row>
    <row r="36" spans="1:18" ht="30" x14ac:dyDescent="0.25">
      <c r="A36" s="771"/>
      <c r="B36" s="1125"/>
      <c r="C36" s="1127"/>
      <c r="D36" s="1129"/>
      <c r="E36" s="1131"/>
      <c r="F36" s="1133"/>
      <c r="G36" s="801" t="s">
        <v>555</v>
      </c>
      <c r="H36" s="781" t="s">
        <v>554</v>
      </c>
      <c r="I36" s="800"/>
      <c r="J36" s="799">
        <f t="shared" si="6"/>
        <v>1378</v>
      </c>
      <c r="K36" s="798">
        <v>135</v>
      </c>
      <c r="L36" s="816">
        <f>'Budget Analysis'!G44</f>
        <v>1513</v>
      </c>
      <c r="M36" s="758"/>
      <c r="N36" s="759"/>
      <c r="O36" s="760"/>
    </row>
    <row r="37" spans="1:18" x14ac:dyDescent="0.25">
      <c r="A37" s="771"/>
      <c r="B37" s="795"/>
      <c r="C37" s="796"/>
      <c r="D37" s="797"/>
      <c r="E37" s="796"/>
      <c r="F37" s="792"/>
      <c r="G37" s="791" t="s">
        <v>556</v>
      </c>
      <c r="H37" s="790" t="s">
        <v>400</v>
      </c>
      <c r="I37" s="789"/>
      <c r="J37" s="788">
        <f t="shared" si="6"/>
        <v>5500</v>
      </c>
      <c r="K37" s="787">
        <v>5000</v>
      </c>
      <c r="L37" s="994">
        <v>10500</v>
      </c>
      <c r="M37" s="758"/>
      <c r="N37" s="759"/>
      <c r="O37" s="997"/>
    </row>
    <row r="38" spans="1:18" x14ac:dyDescent="0.25">
      <c r="A38" s="771"/>
      <c r="B38" s="795"/>
      <c r="C38" s="793"/>
      <c r="D38" s="794"/>
      <c r="E38" s="793"/>
      <c r="F38" s="792"/>
      <c r="G38" s="782" t="s">
        <v>557</v>
      </c>
      <c r="H38" s="781" t="s">
        <v>538</v>
      </c>
      <c r="I38" s="780"/>
      <c r="J38" s="779">
        <f t="shared" si="6"/>
        <v>-23535</v>
      </c>
      <c r="K38" s="778">
        <v>23535</v>
      </c>
      <c r="L38" s="816">
        <v>0</v>
      </c>
      <c r="M38" s="758"/>
      <c r="N38" s="759"/>
      <c r="O38" s="760"/>
    </row>
    <row r="39" spans="1:18" x14ac:dyDescent="0.25">
      <c r="A39" s="771"/>
      <c r="B39" s="795"/>
      <c r="C39" s="793"/>
      <c r="D39" s="794"/>
      <c r="E39" s="793"/>
      <c r="F39" s="792"/>
      <c r="G39" s="791" t="s">
        <v>558</v>
      </c>
      <c r="H39" s="790" t="s">
        <v>539</v>
      </c>
      <c r="I39" s="789"/>
      <c r="J39" s="788">
        <f t="shared" si="6"/>
        <v>-14684</v>
      </c>
      <c r="K39" s="787">
        <v>14684</v>
      </c>
      <c r="L39" s="992">
        <v>0</v>
      </c>
      <c r="M39" s="758"/>
      <c r="N39" s="759"/>
      <c r="O39" s="997"/>
    </row>
    <row r="40" spans="1:18" x14ac:dyDescent="0.25">
      <c r="A40" s="771"/>
      <c r="B40" s="786"/>
      <c r="C40" s="785"/>
      <c r="D40" s="785"/>
      <c r="E40" s="784"/>
      <c r="F40" s="783"/>
      <c r="G40" s="782"/>
      <c r="H40" s="781" t="s">
        <v>5</v>
      </c>
      <c r="I40" s="780">
        <f>J40/K40</f>
        <v>-0.61680000000000001</v>
      </c>
      <c r="J40" s="779">
        <f>L40-K40</f>
        <v>-6116</v>
      </c>
      <c r="K40" s="778">
        <v>9916</v>
      </c>
      <c r="L40" s="816">
        <v>3800</v>
      </c>
      <c r="M40" s="758"/>
      <c r="N40" s="759"/>
      <c r="O40" s="997"/>
    </row>
    <row r="41" spans="1:18" ht="30" customHeight="1" x14ac:dyDescent="0.25">
      <c r="A41" s="771"/>
      <c r="B41" s="777" t="s">
        <v>213</v>
      </c>
      <c r="C41" s="776">
        <v>86304</v>
      </c>
      <c r="D41" s="776">
        <f>'Audit reconciliation'!G9</f>
        <v>113223</v>
      </c>
      <c r="E41" s="237">
        <f>+D41-C41</f>
        <v>26919</v>
      </c>
      <c r="F41" s="238">
        <f>(D41-C41)/D41%</f>
        <v>23.78</v>
      </c>
      <c r="G41" s="1115" t="s">
        <v>562</v>
      </c>
      <c r="H41" s="775"/>
      <c r="I41" s="774"/>
      <c r="J41" s="773"/>
      <c r="K41" s="772">
        <f>SUM(K18:K40)</f>
        <v>73035</v>
      </c>
      <c r="L41" s="772">
        <f>SUM(L18:L40)</f>
        <v>34672</v>
      </c>
      <c r="M41" s="760"/>
      <c r="N41" s="759"/>
      <c r="O41" s="758"/>
      <c r="Q41" s="767"/>
    </row>
    <row r="42" spans="1:18" ht="33.75" customHeight="1" x14ac:dyDescent="0.25">
      <c r="A42" s="771"/>
      <c r="B42" s="770" t="s">
        <v>214</v>
      </c>
      <c r="C42" s="769">
        <v>86304</v>
      </c>
      <c r="D42" s="769">
        <f>Balances!C22</f>
        <v>113223</v>
      </c>
      <c r="E42" s="233">
        <f>+D42-C42</f>
        <v>26919</v>
      </c>
      <c r="F42" s="234">
        <f>(D42-C42)/D42%</f>
        <v>23.78</v>
      </c>
      <c r="G42" s="1116"/>
      <c r="H42" s="292"/>
      <c r="I42" s="292"/>
      <c r="J42" s="768"/>
      <c r="K42" s="295"/>
      <c r="L42" s="296"/>
      <c r="M42" s="767"/>
      <c r="N42" s="759"/>
      <c r="O42" s="998"/>
      <c r="Q42" s="758"/>
      <c r="R42" s="760"/>
    </row>
    <row r="43" spans="1:18" ht="39.75" customHeight="1" x14ac:dyDescent="0.25">
      <c r="B43" s="297" t="s">
        <v>222</v>
      </c>
      <c r="C43" s="233">
        <v>213475</v>
      </c>
      <c r="D43" s="233">
        <f>'Asset Register'!H92</f>
        <v>219835</v>
      </c>
      <c r="E43" s="233">
        <f>+D43-C43</f>
        <v>6360</v>
      </c>
      <c r="F43" s="234">
        <f>(D43-C43)/D43%</f>
        <v>2.89</v>
      </c>
      <c r="G43" s="766" t="s">
        <v>572</v>
      </c>
      <c r="H43" s="293"/>
      <c r="I43" s="294"/>
      <c r="J43" s="765"/>
      <c r="K43" s="764"/>
      <c r="L43" s="763"/>
      <c r="M43" s="241"/>
      <c r="N43" s="762"/>
      <c r="O43" s="758"/>
      <c r="Q43" s="760"/>
    </row>
    <row r="44" spans="1:18" ht="27" customHeight="1" x14ac:dyDescent="0.25">
      <c r="D44" s="761">
        <f>D18+D14</f>
        <v>45477</v>
      </c>
      <c r="H44" s="239"/>
      <c r="I44" s="239"/>
      <c r="K44" s="758"/>
      <c r="L44" s="758"/>
      <c r="M44" s="760"/>
      <c r="N44" s="759"/>
      <c r="Q44" s="758"/>
    </row>
    <row r="45" spans="1:18" x14ac:dyDescent="0.25">
      <c r="L45" s="758"/>
    </row>
    <row r="46" spans="1:18" x14ac:dyDescent="0.25">
      <c r="K46" s="758"/>
      <c r="L46" s="758"/>
    </row>
    <row r="59" spans="1:14" s="240" customFormat="1" x14ac:dyDescent="0.25">
      <c r="A59" s="756"/>
      <c r="B59" s="756"/>
      <c r="C59" s="757"/>
      <c r="D59" s="757"/>
      <c r="E59" s="756"/>
      <c r="F59" s="757"/>
      <c r="G59" s="756"/>
      <c r="H59" s="756"/>
      <c r="I59" s="756"/>
      <c r="J59" s="756"/>
      <c r="K59" s="756"/>
      <c r="L59" s="756"/>
      <c r="M59" s="756"/>
      <c r="N59" s="756"/>
    </row>
    <row r="60" spans="1:14" s="240" customFormat="1" x14ac:dyDescent="0.25">
      <c r="A60" s="756"/>
      <c r="B60" s="756"/>
      <c r="C60" s="757"/>
      <c r="D60" s="757"/>
      <c r="E60" s="756"/>
      <c r="F60" s="757"/>
      <c r="G60" s="756"/>
      <c r="H60" s="756"/>
      <c r="I60" s="756"/>
      <c r="J60" s="756"/>
      <c r="K60" s="756"/>
      <c r="L60" s="756"/>
      <c r="M60" s="756"/>
      <c r="N60" s="756"/>
    </row>
    <row r="61" spans="1:14" s="240" customFormat="1" x14ac:dyDescent="0.25">
      <c r="A61" s="756"/>
      <c r="B61" s="756"/>
      <c r="C61" s="757"/>
      <c r="D61" s="757"/>
      <c r="E61" s="756"/>
      <c r="F61" s="757"/>
      <c r="G61" s="756"/>
      <c r="H61" s="756"/>
      <c r="I61" s="756"/>
      <c r="J61" s="756"/>
      <c r="K61" s="756"/>
      <c r="L61" s="756"/>
      <c r="M61" s="756"/>
      <c r="N61" s="756"/>
    </row>
    <row r="62" spans="1:14" s="240" customFormat="1" x14ac:dyDescent="0.25">
      <c r="A62" s="756"/>
      <c r="B62" s="756"/>
      <c r="C62" s="757"/>
      <c r="D62" s="757"/>
      <c r="E62" s="756"/>
      <c r="F62" s="757"/>
      <c r="G62" s="756"/>
      <c r="H62" s="756"/>
      <c r="I62" s="756"/>
      <c r="J62" s="756"/>
      <c r="K62" s="756"/>
      <c r="L62" s="756"/>
      <c r="M62" s="756"/>
      <c r="N62" s="756"/>
    </row>
    <row r="63" spans="1:14" s="240" customFormat="1" x14ac:dyDescent="0.25">
      <c r="A63" s="756"/>
      <c r="B63" s="756"/>
      <c r="C63" s="757"/>
      <c r="D63" s="757"/>
      <c r="E63" s="756"/>
      <c r="F63" s="757"/>
      <c r="G63" s="756"/>
      <c r="H63" s="756"/>
      <c r="I63" s="756"/>
      <c r="J63" s="756"/>
      <c r="K63" s="756"/>
      <c r="L63" s="756"/>
      <c r="M63" s="756"/>
      <c r="N63" s="756"/>
    </row>
    <row r="64" spans="1:14" s="240" customFormat="1" x14ac:dyDescent="0.25">
      <c r="A64" s="756"/>
      <c r="B64" s="756"/>
      <c r="C64" s="757"/>
      <c r="D64" s="757"/>
      <c r="E64" s="756"/>
      <c r="F64" s="757"/>
      <c r="G64" s="756"/>
      <c r="H64" s="756"/>
      <c r="I64" s="756"/>
      <c r="J64" s="756"/>
      <c r="K64" s="756"/>
      <c r="L64" s="756"/>
      <c r="M64" s="756"/>
      <c r="N64" s="756"/>
    </row>
    <row r="65" spans="1:14" s="240" customFormat="1" x14ac:dyDescent="0.25">
      <c r="A65" s="756"/>
      <c r="B65" s="756"/>
      <c r="C65" s="757"/>
      <c r="D65" s="757"/>
      <c r="E65" s="756"/>
      <c r="F65" s="757"/>
      <c r="G65" s="756"/>
      <c r="H65" s="756"/>
      <c r="I65" s="756"/>
      <c r="J65" s="756"/>
      <c r="K65" s="756"/>
      <c r="L65" s="756"/>
      <c r="M65" s="756"/>
      <c r="N65" s="756"/>
    </row>
    <row r="66" spans="1:14" s="240" customFormat="1" x14ac:dyDescent="0.25">
      <c r="A66" s="756"/>
      <c r="B66" s="756"/>
      <c r="C66" s="757"/>
      <c r="D66" s="757"/>
      <c r="E66" s="756"/>
      <c r="F66" s="757"/>
      <c r="G66" s="756"/>
      <c r="H66" s="756"/>
      <c r="I66" s="756"/>
      <c r="J66" s="756"/>
      <c r="K66" s="756"/>
      <c r="L66" s="756"/>
      <c r="M66" s="756"/>
      <c r="N66" s="756"/>
    </row>
    <row r="67" spans="1:14" s="240" customFormat="1" x14ac:dyDescent="0.25">
      <c r="A67" s="756"/>
      <c r="B67" s="756"/>
      <c r="C67" s="757"/>
      <c r="D67" s="757"/>
      <c r="E67" s="756"/>
      <c r="F67" s="757"/>
      <c r="G67" s="756"/>
      <c r="H67" s="756"/>
      <c r="I67" s="756"/>
      <c r="J67" s="756"/>
      <c r="K67" s="756"/>
      <c r="L67" s="756"/>
      <c r="M67" s="756"/>
      <c r="N67" s="756"/>
    </row>
    <row r="68" spans="1:14" s="240" customFormat="1" x14ac:dyDescent="0.25">
      <c r="A68" s="756"/>
      <c r="B68" s="756"/>
      <c r="C68" s="757"/>
      <c r="D68" s="757"/>
      <c r="E68" s="756"/>
      <c r="F68" s="757"/>
      <c r="G68" s="756"/>
      <c r="H68" s="756"/>
      <c r="I68" s="756"/>
      <c r="J68" s="756"/>
      <c r="K68" s="756"/>
      <c r="L68" s="756"/>
      <c r="M68" s="756"/>
      <c r="N68" s="756"/>
    </row>
    <row r="69" spans="1:14" s="240" customFormat="1" x14ac:dyDescent="0.25">
      <c r="A69" s="756"/>
      <c r="B69" s="756"/>
      <c r="C69" s="757"/>
      <c r="D69" s="757"/>
      <c r="E69" s="756"/>
      <c r="F69" s="757"/>
      <c r="G69" s="756"/>
      <c r="H69" s="756"/>
      <c r="I69" s="756"/>
      <c r="J69" s="756"/>
      <c r="K69" s="756"/>
      <c r="L69" s="756"/>
      <c r="M69" s="756"/>
      <c r="N69" s="756"/>
    </row>
    <row r="70" spans="1:14" s="240" customFormat="1" x14ac:dyDescent="0.25">
      <c r="A70" s="756"/>
      <c r="B70" s="756"/>
      <c r="C70" s="757"/>
      <c r="D70" s="757"/>
      <c r="E70" s="756"/>
      <c r="F70" s="757"/>
      <c r="G70" s="756"/>
      <c r="H70" s="756"/>
      <c r="I70" s="756"/>
      <c r="J70" s="756"/>
      <c r="K70" s="756"/>
      <c r="L70" s="756"/>
      <c r="M70" s="756"/>
      <c r="N70" s="756"/>
    </row>
    <row r="71" spans="1:14" s="240" customFormat="1" x14ac:dyDescent="0.25">
      <c r="A71" s="756"/>
      <c r="B71" s="756"/>
      <c r="C71" s="757"/>
      <c r="D71" s="757"/>
      <c r="E71" s="756"/>
      <c r="F71" s="757"/>
      <c r="G71" s="756"/>
      <c r="H71" s="756"/>
      <c r="I71" s="756"/>
      <c r="J71" s="756"/>
      <c r="K71" s="756"/>
      <c r="L71" s="756"/>
      <c r="M71" s="756"/>
      <c r="N71" s="756"/>
    </row>
    <row r="72" spans="1:14" s="240" customFormat="1" x14ac:dyDescent="0.25">
      <c r="A72" s="756"/>
      <c r="B72" s="756"/>
      <c r="C72" s="757"/>
      <c r="D72" s="757"/>
      <c r="E72" s="756"/>
      <c r="F72" s="757"/>
      <c r="G72" s="756"/>
      <c r="H72" s="756"/>
      <c r="I72" s="756"/>
      <c r="J72" s="756"/>
      <c r="K72" s="756"/>
      <c r="L72" s="756"/>
      <c r="M72" s="756"/>
      <c r="N72" s="756"/>
    </row>
    <row r="73" spans="1:14" s="240" customFormat="1" x14ac:dyDescent="0.25">
      <c r="A73" s="756"/>
      <c r="B73" s="756"/>
      <c r="C73" s="757"/>
      <c r="D73" s="757"/>
      <c r="E73" s="756"/>
      <c r="F73" s="757"/>
      <c r="G73" s="756"/>
      <c r="H73" s="756"/>
      <c r="I73" s="756"/>
      <c r="J73" s="756"/>
      <c r="K73" s="756"/>
      <c r="L73" s="756"/>
      <c r="M73" s="756"/>
      <c r="N73" s="756"/>
    </row>
    <row r="74" spans="1:14" s="240" customFormat="1" x14ac:dyDescent="0.25">
      <c r="A74" s="756"/>
      <c r="B74" s="756"/>
      <c r="C74" s="757"/>
      <c r="D74" s="757"/>
      <c r="E74" s="756"/>
      <c r="F74" s="757"/>
      <c r="G74" s="756"/>
      <c r="H74" s="756"/>
      <c r="I74" s="756"/>
      <c r="J74" s="756"/>
      <c r="K74" s="756"/>
      <c r="L74" s="756"/>
      <c r="M74" s="756"/>
      <c r="N74" s="756"/>
    </row>
    <row r="75" spans="1:14" s="240" customFormat="1" x14ac:dyDescent="0.25">
      <c r="A75" s="756"/>
      <c r="B75" s="756"/>
      <c r="C75" s="757"/>
      <c r="D75" s="757"/>
      <c r="E75" s="756"/>
      <c r="F75" s="757"/>
      <c r="G75" s="756"/>
      <c r="H75" s="756"/>
      <c r="I75" s="756"/>
      <c r="J75" s="756"/>
      <c r="K75" s="756"/>
      <c r="L75" s="756"/>
      <c r="M75" s="756"/>
      <c r="N75" s="756"/>
    </row>
    <row r="76" spans="1:14" s="240" customFormat="1" x14ac:dyDescent="0.25">
      <c r="A76" s="756"/>
      <c r="B76" s="756"/>
      <c r="C76" s="757"/>
      <c r="D76" s="757"/>
      <c r="E76" s="756"/>
      <c r="F76" s="757"/>
      <c r="G76" s="756"/>
      <c r="H76" s="756"/>
      <c r="I76" s="756"/>
      <c r="J76" s="756"/>
      <c r="K76" s="756"/>
      <c r="L76" s="756"/>
      <c r="M76" s="756"/>
      <c r="N76" s="756"/>
    </row>
    <row r="77" spans="1:14" s="240" customFormat="1" x14ac:dyDescent="0.25">
      <c r="A77" s="756"/>
      <c r="B77" s="756"/>
      <c r="C77" s="757"/>
      <c r="D77" s="757"/>
      <c r="E77" s="756"/>
      <c r="F77" s="757"/>
      <c r="G77" s="756"/>
      <c r="H77" s="756"/>
      <c r="I77" s="756"/>
      <c r="J77" s="756"/>
      <c r="K77" s="756"/>
      <c r="L77" s="756"/>
      <c r="M77" s="756"/>
      <c r="N77" s="756"/>
    </row>
    <row r="78" spans="1:14" s="240" customFormat="1" x14ac:dyDescent="0.25">
      <c r="A78" s="756"/>
      <c r="B78" s="756"/>
      <c r="C78" s="757"/>
      <c r="D78" s="757"/>
      <c r="E78" s="756"/>
      <c r="F78" s="757"/>
      <c r="G78" s="756"/>
      <c r="H78" s="756"/>
      <c r="I78" s="756"/>
      <c r="J78" s="756"/>
      <c r="K78" s="756"/>
      <c r="L78" s="756"/>
      <c r="M78" s="756"/>
      <c r="N78" s="756"/>
    </row>
    <row r="79" spans="1:14" s="240" customFormat="1" x14ac:dyDescent="0.25">
      <c r="A79" s="756"/>
      <c r="B79" s="756"/>
      <c r="C79" s="757"/>
      <c r="D79" s="757"/>
      <c r="E79" s="756"/>
      <c r="F79" s="757"/>
      <c r="G79" s="756"/>
      <c r="H79" s="756"/>
      <c r="I79" s="756"/>
      <c r="J79" s="756"/>
      <c r="K79" s="756"/>
      <c r="L79" s="756"/>
      <c r="M79" s="756"/>
      <c r="N79" s="756"/>
    </row>
    <row r="80" spans="1:14" s="240" customFormat="1" x14ac:dyDescent="0.25">
      <c r="A80" s="756"/>
      <c r="B80" s="756"/>
      <c r="C80" s="757"/>
      <c r="D80" s="757"/>
      <c r="E80" s="756"/>
      <c r="F80" s="757"/>
      <c r="G80" s="756"/>
      <c r="H80" s="756"/>
      <c r="I80" s="756"/>
      <c r="J80" s="756"/>
      <c r="K80" s="756"/>
      <c r="L80" s="756"/>
      <c r="M80" s="756"/>
      <c r="N80" s="756"/>
    </row>
    <row r="81" spans="1:14" s="240" customFormat="1" x14ac:dyDescent="0.25">
      <c r="A81" s="756"/>
      <c r="B81" s="756"/>
      <c r="C81" s="757"/>
      <c r="D81" s="757"/>
      <c r="E81" s="756"/>
      <c r="F81" s="757"/>
      <c r="G81" s="756"/>
      <c r="H81" s="756"/>
      <c r="I81" s="756"/>
      <c r="J81" s="756"/>
      <c r="K81" s="756"/>
      <c r="L81" s="756"/>
      <c r="M81" s="756"/>
      <c r="N81" s="756"/>
    </row>
    <row r="82" spans="1:14" s="240" customFormat="1" x14ac:dyDescent="0.25">
      <c r="A82" s="756"/>
      <c r="B82" s="756"/>
      <c r="C82" s="757"/>
      <c r="D82" s="757"/>
      <c r="E82" s="756"/>
      <c r="F82" s="757"/>
      <c r="G82" s="756"/>
      <c r="H82" s="756"/>
      <c r="I82" s="756"/>
      <c r="J82" s="756"/>
      <c r="K82" s="756"/>
      <c r="L82" s="756"/>
      <c r="M82" s="756"/>
      <c r="N82" s="756"/>
    </row>
    <row r="83" spans="1:14" s="240" customFormat="1" x14ac:dyDescent="0.25">
      <c r="A83" s="756"/>
      <c r="B83" s="756"/>
      <c r="C83" s="757"/>
      <c r="D83" s="757"/>
      <c r="E83" s="756"/>
      <c r="F83" s="757"/>
      <c r="G83" s="756"/>
      <c r="H83" s="756"/>
      <c r="I83" s="756"/>
      <c r="J83" s="756"/>
      <c r="K83" s="756"/>
      <c r="L83" s="756"/>
      <c r="M83" s="756"/>
      <c r="N83" s="756"/>
    </row>
    <row r="84" spans="1:14" s="240" customFormat="1" x14ac:dyDescent="0.25">
      <c r="A84" s="756"/>
      <c r="B84" s="756"/>
      <c r="C84" s="757"/>
      <c r="D84" s="757"/>
      <c r="E84" s="756"/>
      <c r="F84" s="757"/>
      <c r="G84" s="756"/>
      <c r="H84" s="756"/>
      <c r="I84" s="756"/>
      <c r="J84" s="756"/>
      <c r="K84" s="756"/>
      <c r="L84" s="756"/>
      <c r="M84" s="756"/>
      <c r="N84" s="756"/>
    </row>
    <row r="85" spans="1:14" s="240" customFormat="1" x14ac:dyDescent="0.25">
      <c r="A85" s="756"/>
      <c r="B85" s="756"/>
      <c r="C85" s="757"/>
      <c r="D85" s="757"/>
      <c r="E85" s="756"/>
      <c r="F85" s="757"/>
      <c r="G85" s="756"/>
      <c r="H85" s="756"/>
      <c r="I85" s="756"/>
      <c r="J85" s="756"/>
      <c r="K85" s="756"/>
      <c r="L85" s="756"/>
      <c r="M85" s="756"/>
      <c r="N85" s="756"/>
    </row>
    <row r="86" spans="1:14" s="240" customFormat="1" x14ac:dyDescent="0.25">
      <c r="A86" s="756"/>
      <c r="B86" s="756"/>
      <c r="C86" s="757"/>
      <c r="D86" s="757"/>
      <c r="E86" s="756"/>
      <c r="F86" s="757"/>
      <c r="G86" s="756"/>
      <c r="H86" s="756"/>
      <c r="I86" s="756"/>
      <c r="J86" s="756"/>
      <c r="K86" s="756"/>
      <c r="L86" s="756"/>
      <c r="M86" s="756"/>
      <c r="N86" s="756"/>
    </row>
    <row r="87" spans="1:14" s="240" customFormat="1" x14ac:dyDescent="0.25">
      <c r="A87" s="756"/>
      <c r="B87" s="756"/>
      <c r="C87" s="757"/>
      <c r="D87" s="757"/>
      <c r="E87" s="756"/>
      <c r="F87" s="757"/>
      <c r="G87" s="756"/>
      <c r="H87" s="756"/>
      <c r="I87" s="756"/>
      <c r="J87" s="756"/>
      <c r="K87" s="756"/>
      <c r="L87" s="756"/>
      <c r="M87" s="756"/>
      <c r="N87" s="756"/>
    </row>
    <row r="88" spans="1:14" s="240" customFormat="1" x14ac:dyDescent="0.25">
      <c r="A88" s="756"/>
      <c r="B88" s="756"/>
      <c r="C88" s="757"/>
      <c r="D88" s="757"/>
      <c r="E88" s="756"/>
      <c r="F88" s="757"/>
      <c r="G88" s="756"/>
      <c r="H88" s="756"/>
      <c r="I88" s="756"/>
      <c r="J88" s="756"/>
      <c r="K88" s="756"/>
      <c r="L88" s="756"/>
      <c r="M88" s="756"/>
      <c r="N88" s="756"/>
    </row>
    <row r="89" spans="1:14" s="240" customFormat="1" x14ac:dyDescent="0.25">
      <c r="A89" s="756"/>
      <c r="B89" s="756"/>
      <c r="C89" s="757"/>
      <c r="D89" s="757"/>
      <c r="E89" s="756"/>
      <c r="F89" s="757"/>
      <c r="G89" s="756"/>
      <c r="H89" s="756"/>
      <c r="I89" s="756"/>
      <c r="J89" s="756"/>
      <c r="K89" s="756"/>
      <c r="L89" s="756"/>
      <c r="M89" s="756"/>
      <c r="N89" s="756"/>
    </row>
    <row r="90" spans="1:14" s="240" customFormat="1" x14ac:dyDescent="0.25">
      <c r="A90" s="756"/>
      <c r="B90" s="756"/>
      <c r="C90" s="757"/>
      <c r="D90" s="757"/>
      <c r="E90" s="756"/>
      <c r="F90" s="757"/>
      <c r="G90" s="756"/>
      <c r="H90" s="756"/>
      <c r="I90" s="756"/>
      <c r="J90" s="756"/>
      <c r="K90" s="756"/>
      <c r="L90" s="756"/>
      <c r="M90" s="756"/>
      <c r="N90" s="756"/>
    </row>
    <row r="91" spans="1:14" s="240" customFormat="1" x14ac:dyDescent="0.25">
      <c r="A91" s="756"/>
      <c r="B91" s="756"/>
      <c r="C91" s="757"/>
      <c r="D91" s="757"/>
      <c r="E91" s="756"/>
      <c r="F91" s="757"/>
      <c r="G91" s="756"/>
      <c r="H91" s="756"/>
      <c r="I91" s="756"/>
      <c r="J91" s="756"/>
      <c r="K91" s="756"/>
      <c r="L91" s="756"/>
      <c r="M91" s="756"/>
      <c r="N91" s="756"/>
    </row>
    <row r="92" spans="1:14" s="240" customFormat="1" x14ac:dyDescent="0.25">
      <c r="A92" s="756"/>
      <c r="B92" s="756"/>
      <c r="C92" s="757"/>
      <c r="D92" s="757"/>
      <c r="E92" s="756"/>
      <c r="F92" s="757"/>
      <c r="G92" s="756"/>
      <c r="H92" s="756"/>
      <c r="I92" s="756"/>
      <c r="J92" s="756"/>
      <c r="K92" s="756"/>
      <c r="L92" s="756"/>
      <c r="M92" s="756"/>
      <c r="N92" s="756"/>
    </row>
    <row r="93" spans="1:14" s="240" customFormat="1" x14ac:dyDescent="0.25">
      <c r="A93" s="756"/>
      <c r="B93" s="756"/>
      <c r="C93" s="757"/>
      <c r="D93" s="757"/>
      <c r="E93" s="756"/>
      <c r="F93" s="757"/>
      <c r="G93" s="756"/>
      <c r="H93" s="756"/>
      <c r="I93" s="756"/>
      <c r="J93" s="756"/>
      <c r="K93" s="756"/>
      <c r="L93" s="756"/>
      <c r="M93" s="756"/>
      <c r="N93" s="756"/>
    </row>
    <row r="94" spans="1:14" s="240" customFormat="1" x14ac:dyDescent="0.25">
      <c r="A94" s="756"/>
      <c r="B94" s="756"/>
      <c r="C94" s="757"/>
      <c r="D94" s="757"/>
      <c r="E94" s="756"/>
      <c r="F94" s="757"/>
      <c r="G94" s="756"/>
      <c r="H94" s="756"/>
      <c r="I94" s="756"/>
      <c r="J94" s="756"/>
      <c r="K94" s="756"/>
      <c r="L94" s="756"/>
      <c r="M94" s="756"/>
      <c r="N94" s="756"/>
    </row>
    <row r="95" spans="1:14" s="240" customFormat="1" x14ac:dyDescent="0.25">
      <c r="A95" s="756"/>
      <c r="B95" s="756"/>
      <c r="C95" s="757"/>
      <c r="D95" s="757"/>
      <c r="E95" s="756"/>
      <c r="F95" s="757"/>
      <c r="G95" s="756"/>
      <c r="H95" s="756"/>
      <c r="I95" s="756"/>
      <c r="J95" s="756"/>
      <c r="K95" s="756"/>
      <c r="L95" s="756"/>
      <c r="M95" s="756"/>
      <c r="N95" s="756"/>
    </row>
    <row r="96" spans="1:14" s="240" customFormat="1" x14ac:dyDescent="0.25">
      <c r="A96" s="756"/>
      <c r="B96" s="756"/>
      <c r="C96" s="757"/>
      <c r="D96" s="757"/>
      <c r="E96" s="756"/>
      <c r="F96" s="757"/>
      <c r="G96" s="756"/>
      <c r="H96" s="756"/>
      <c r="I96" s="756"/>
      <c r="J96" s="756"/>
      <c r="K96" s="756"/>
      <c r="L96" s="756"/>
      <c r="M96" s="756"/>
      <c r="N96" s="756"/>
    </row>
    <row r="97" spans="1:14" s="240" customFormat="1" x14ac:dyDescent="0.25">
      <c r="A97" s="756"/>
      <c r="B97" s="756"/>
      <c r="C97" s="757"/>
      <c r="D97" s="757"/>
      <c r="E97" s="756"/>
      <c r="F97" s="757"/>
      <c r="G97" s="756"/>
      <c r="H97" s="756"/>
      <c r="I97" s="756"/>
      <c r="J97" s="756"/>
      <c r="K97" s="756"/>
      <c r="L97" s="756"/>
      <c r="M97" s="756"/>
      <c r="N97" s="756"/>
    </row>
    <row r="98" spans="1:14" s="240" customFormat="1" x14ac:dyDescent="0.25">
      <c r="A98" s="756"/>
      <c r="B98" s="756"/>
      <c r="C98" s="757"/>
      <c r="D98" s="757"/>
      <c r="E98" s="756"/>
      <c r="F98" s="757"/>
      <c r="G98" s="756"/>
      <c r="H98" s="756"/>
      <c r="I98" s="756"/>
      <c r="J98" s="756"/>
      <c r="K98" s="756"/>
      <c r="L98" s="756"/>
      <c r="M98" s="756"/>
      <c r="N98" s="756"/>
    </row>
    <row r="99" spans="1:14" s="240" customFormat="1" x14ac:dyDescent="0.25">
      <c r="A99" s="756"/>
      <c r="B99" s="756"/>
      <c r="C99" s="757"/>
      <c r="D99" s="757"/>
      <c r="E99" s="756"/>
      <c r="F99" s="757"/>
      <c r="G99" s="756"/>
      <c r="H99" s="756"/>
      <c r="I99" s="756"/>
      <c r="J99" s="756"/>
      <c r="K99" s="756"/>
      <c r="L99" s="756"/>
      <c r="M99" s="756"/>
      <c r="N99" s="756"/>
    </row>
    <row r="100" spans="1:14" s="240" customFormat="1" x14ac:dyDescent="0.25">
      <c r="A100" s="756"/>
      <c r="B100" s="756"/>
      <c r="C100" s="757"/>
      <c r="D100" s="757"/>
      <c r="E100" s="756"/>
      <c r="F100" s="757"/>
      <c r="G100" s="756"/>
      <c r="H100" s="756"/>
      <c r="I100" s="756"/>
      <c r="J100" s="756"/>
      <c r="K100" s="756"/>
      <c r="L100" s="756"/>
      <c r="M100" s="756"/>
      <c r="N100" s="756"/>
    </row>
    <row r="101" spans="1:14" s="240" customFormat="1" x14ac:dyDescent="0.25">
      <c r="A101" s="756"/>
      <c r="B101" s="756"/>
      <c r="C101" s="757"/>
      <c r="D101" s="757"/>
      <c r="E101" s="756"/>
      <c r="F101" s="757"/>
      <c r="G101" s="756"/>
      <c r="H101" s="756"/>
      <c r="I101" s="756"/>
      <c r="J101" s="756"/>
      <c r="K101" s="756"/>
      <c r="L101" s="756"/>
      <c r="M101" s="756"/>
      <c r="N101" s="756"/>
    </row>
    <row r="102" spans="1:14" s="240" customFormat="1" x14ac:dyDescent="0.25">
      <c r="A102" s="756"/>
      <c r="B102" s="756"/>
      <c r="C102" s="757"/>
      <c r="D102" s="757"/>
      <c r="E102" s="756"/>
      <c r="F102" s="757"/>
      <c r="G102" s="756"/>
      <c r="H102" s="756"/>
      <c r="I102" s="756"/>
      <c r="J102" s="756"/>
      <c r="K102" s="756"/>
      <c r="L102" s="756"/>
      <c r="M102" s="756"/>
      <c r="N102" s="756"/>
    </row>
    <row r="103" spans="1:14" s="240" customFormat="1" x14ac:dyDescent="0.25">
      <c r="A103" s="756"/>
      <c r="B103" s="756"/>
      <c r="C103" s="757"/>
      <c r="D103" s="757"/>
      <c r="E103" s="756"/>
      <c r="F103" s="757"/>
      <c r="G103" s="756"/>
      <c r="H103" s="756"/>
      <c r="I103" s="756"/>
      <c r="J103" s="756"/>
      <c r="K103" s="756"/>
      <c r="L103" s="756"/>
      <c r="M103" s="756"/>
      <c r="N103" s="756"/>
    </row>
    <row r="104" spans="1:14" s="240" customFormat="1" x14ac:dyDescent="0.25">
      <c r="A104" s="756"/>
      <c r="B104" s="756"/>
      <c r="C104" s="757"/>
      <c r="D104" s="757"/>
      <c r="E104" s="756"/>
      <c r="F104" s="757"/>
      <c r="G104" s="756"/>
      <c r="H104" s="756"/>
      <c r="I104" s="756"/>
      <c r="J104" s="756"/>
      <c r="K104" s="756"/>
      <c r="L104" s="756"/>
      <c r="M104" s="756"/>
      <c r="N104" s="756"/>
    </row>
    <row r="105" spans="1:14" s="240" customFormat="1" x14ac:dyDescent="0.25">
      <c r="A105" s="756"/>
      <c r="B105" s="756"/>
      <c r="C105" s="757"/>
      <c r="D105" s="757"/>
      <c r="E105" s="756"/>
      <c r="F105" s="757"/>
      <c r="G105" s="756"/>
      <c r="H105" s="756"/>
      <c r="I105" s="756"/>
      <c r="J105" s="756"/>
      <c r="K105" s="756"/>
      <c r="L105" s="756"/>
      <c r="M105" s="756"/>
      <c r="N105" s="756"/>
    </row>
    <row r="106" spans="1:14" s="240" customFormat="1" x14ac:dyDescent="0.25">
      <c r="A106" s="756"/>
      <c r="B106" s="756"/>
      <c r="C106" s="757"/>
      <c r="D106" s="757"/>
      <c r="E106" s="756"/>
      <c r="F106" s="757"/>
      <c r="G106" s="756"/>
      <c r="H106" s="756"/>
      <c r="I106" s="756"/>
      <c r="J106" s="756"/>
      <c r="K106" s="756"/>
      <c r="L106" s="756"/>
      <c r="M106" s="756"/>
      <c r="N106" s="756"/>
    </row>
    <row r="107" spans="1:14" s="240" customFormat="1" x14ac:dyDescent="0.25">
      <c r="A107" s="756"/>
      <c r="B107" s="756"/>
      <c r="C107" s="757"/>
      <c r="D107" s="757"/>
      <c r="E107" s="756"/>
      <c r="F107" s="757"/>
      <c r="G107" s="756"/>
      <c r="H107" s="756"/>
      <c r="I107" s="756"/>
      <c r="J107" s="756"/>
      <c r="K107" s="756"/>
      <c r="L107" s="756"/>
      <c r="M107" s="756"/>
      <c r="N107" s="756"/>
    </row>
    <row r="108" spans="1:14" s="240" customFormat="1" x14ac:dyDescent="0.25">
      <c r="A108" s="756"/>
      <c r="B108" s="756"/>
      <c r="C108" s="757"/>
      <c r="D108" s="757"/>
      <c r="E108" s="756"/>
      <c r="F108" s="757"/>
      <c r="G108" s="756"/>
      <c r="H108" s="756"/>
      <c r="I108" s="756"/>
      <c r="J108" s="756"/>
      <c r="K108" s="756"/>
      <c r="L108" s="756"/>
      <c r="M108" s="756"/>
      <c r="N108" s="756"/>
    </row>
    <row r="109" spans="1:14" s="240" customFormat="1" x14ac:dyDescent="0.25">
      <c r="A109" s="756"/>
      <c r="B109" s="756"/>
      <c r="C109" s="757"/>
      <c r="D109" s="757"/>
      <c r="E109" s="756"/>
      <c r="F109" s="757"/>
      <c r="G109" s="756"/>
      <c r="H109" s="756"/>
      <c r="I109" s="756"/>
      <c r="J109" s="756"/>
      <c r="K109" s="756"/>
      <c r="L109" s="756"/>
      <c r="M109" s="756"/>
      <c r="N109" s="756"/>
    </row>
    <row r="110" spans="1:14" s="240" customFormat="1" x14ac:dyDescent="0.25">
      <c r="A110" s="756"/>
      <c r="B110" s="756"/>
      <c r="C110" s="757"/>
      <c r="D110" s="757"/>
      <c r="E110" s="756"/>
      <c r="F110" s="757"/>
      <c r="G110" s="756"/>
      <c r="H110" s="756"/>
      <c r="I110" s="756"/>
      <c r="J110" s="756"/>
      <c r="K110" s="756"/>
      <c r="L110" s="756"/>
      <c r="M110" s="756"/>
      <c r="N110" s="756"/>
    </row>
    <row r="111" spans="1:14" s="240" customFormat="1" x14ac:dyDescent="0.25">
      <c r="A111" s="756"/>
      <c r="B111" s="756"/>
      <c r="C111" s="757"/>
      <c r="D111" s="757"/>
      <c r="E111" s="756"/>
      <c r="F111" s="757"/>
      <c r="G111" s="756"/>
      <c r="H111" s="756"/>
      <c r="I111" s="756"/>
      <c r="J111" s="756"/>
      <c r="K111" s="756"/>
      <c r="L111" s="756"/>
      <c r="M111" s="756"/>
      <c r="N111" s="756"/>
    </row>
    <row r="112" spans="1:14" s="240" customFormat="1" x14ac:dyDescent="0.25">
      <c r="A112" s="756"/>
      <c r="B112" s="756"/>
      <c r="C112" s="757"/>
      <c r="D112" s="757"/>
      <c r="E112" s="756"/>
      <c r="F112" s="757"/>
      <c r="G112" s="756"/>
      <c r="H112" s="756"/>
      <c r="I112" s="756"/>
      <c r="J112" s="756"/>
      <c r="K112" s="756"/>
      <c r="L112" s="756"/>
      <c r="M112" s="756"/>
      <c r="N112" s="756"/>
    </row>
    <row r="113" spans="1:14" s="240" customFormat="1" x14ac:dyDescent="0.25">
      <c r="A113" s="756"/>
      <c r="B113" s="756"/>
      <c r="C113" s="757"/>
      <c r="D113" s="757"/>
      <c r="E113" s="756"/>
      <c r="F113" s="757"/>
      <c r="G113" s="756"/>
      <c r="H113" s="756"/>
      <c r="I113" s="756"/>
      <c r="J113" s="756"/>
      <c r="K113" s="756"/>
      <c r="L113" s="756"/>
      <c r="M113" s="756"/>
      <c r="N113" s="756"/>
    </row>
    <row r="114" spans="1:14" s="240" customFormat="1" x14ac:dyDescent="0.25">
      <c r="A114" s="756"/>
      <c r="B114" s="756"/>
      <c r="C114" s="757"/>
      <c r="D114" s="757"/>
      <c r="E114" s="756"/>
      <c r="F114" s="757"/>
      <c r="G114" s="756"/>
      <c r="H114" s="756"/>
      <c r="I114" s="756"/>
      <c r="J114" s="756"/>
      <c r="K114" s="756"/>
      <c r="L114" s="756"/>
      <c r="M114" s="756"/>
      <c r="N114" s="756"/>
    </row>
    <row r="115" spans="1:14" s="240" customFormat="1" x14ac:dyDescent="0.25">
      <c r="A115" s="756"/>
      <c r="B115" s="756"/>
      <c r="C115" s="757"/>
      <c r="D115" s="757"/>
      <c r="E115" s="756"/>
      <c r="F115" s="757"/>
      <c r="G115" s="756"/>
      <c r="H115" s="756"/>
      <c r="I115" s="756"/>
      <c r="J115" s="756"/>
      <c r="K115" s="756"/>
      <c r="L115" s="756"/>
      <c r="M115" s="756"/>
      <c r="N115" s="756"/>
    </row>
    <row r="116" spans="1:14" s="240" customFormat="1" x14ac:dyDescent="0.25">
      <c r="A116" s="756"/>
      <c r="B116" s="756"/>
      <c r="C116" s="757"/>
      <c r="D116" s="757"/>
      <c r="E116" s="756"/>
      <c r="F116" s="757"/>
      <c r="G116" s="756"/>
      <c r="H116" s="756"/>
      <c r="I116" s="756"/>
      <c r="J116" s="756"/>
      <c r="K116" s="756"/>
      <c r="L116" s="756"/>
      <c r="M116" s="756"/>
      <c r="N116" s="756"/>
    </row>
    <row r="117" spans="1:14" s="240" customFormat="1" x14ac:dyDescent="0.25">
      <c r="A117" s="756"/>
      <c r="B117" s="756"/>
      <c r="C117" s="757"/>
      <c r="D117" s="757"/>
      <c r="E117" s="756"/>
      <c r="F117" s="757"/>
      <c r="G117" s="756"/>
      <c r="H117" s="756"/>
      <c r="I117" s="756"/>
      <c r="J117" s="756"/>
      <c r="K117" s="756"/>
      <c r="L117" s="756"/>
      <c r="M117" s="756"/>
      <c r="N117" s="756"/>
    </row>
    <row r="118" spans="1:14" s="240" customFormat="1" x14ac:dyDescent="0.25">
      <c r="A118" s="756"/>
      <c r="B118" s="756"/>
      <c r="C118" s="757"/>
      <c r="D118" s="757"/>
      <c r="E118" s="756"/>
      <c r="F118" s="757"/>
      <c r="G118" s="756"/>
      <c r="H118" s="756"/>
      <c r="I118" s="756"/>
      <c r="J118" s="756"/>
      <c r="K118" s="756"/>
      <c r="L118" s="756"/>
      <c r="M118" s="756"/>
      <c r="N118" s="756"/>
    </row>
    <row r="119" spans="1:14" s="240" customFormat="1" x14ac:dyDescent="0.25">
      <c r="A119" s="756"/>
      <c r="B119" s="756"/>
      <c r="C119" s="757"/>
      <c r="D119" s="757"/>
      <c r="E119" s="756"/>
      <c r="F119" s="757"/>
      <c r="G119" s="756"/>
      <c r="H119" s="756"/>
      <c r="I119" s="756"/>
      <c r="J119" s="756"/>
      <c r="K119" s="756"/>
      <c r="L119" s="756"/>
      <c r="M119" s="756"/>
      <c r="N119" s="756"/>
    </row>
    <row r="120" spans="1:14" s="240" customFormat="1" x14ac:dyDescent="0.25">
      <c r="A120" s="756"/>
      <c r="B120" s="756"/>
      <c r="C120" s="757"/>
      <c r="D120" s="757"/>
      <c r="E120" s="756"/>
      <c r="F120" s="757"/>
      <c r="G120" s="756"/>
      <c r="H120" s="756"/>
      <c r="I120" s="756"/>
      <c r="J120" s="756"/>
      <c r="K120" s="756"/>
      <c r="L120" s="756"/>
      <c r="M120" s="756"/>
      <c r="N120" s="756"/>
    </row>
    <row r="121" spans="1:14" s="240" customFormat="1" x14ac:dyDescent="0.25">
      <c r="A121" s="756"/>
      <c r="B121" s="756"/>
      <c r="C121" s="757"/>
      <c r="D121" s="757"/>
      <c r="E121" s="756"/>
      <c r="F121" s="757"/>
      <c r="G121" s="756"/>
      <c r="H121" s="756"/>
      <c r="I121" s="756"/>
      <c r="J121" s="756"/>
      <c r="K121" s="756"/>
      <c r="L121" s="756"/>
      <c r="M121" s="756"/>
      <c r="N121" s="756"/>
    </row>
    <row r="122" spans="1:14" s="240" customFormat="1" x14ac:dyDescent="0.25">
      <c r="A122" s="756"/>
      <c r="B122" s="756"/>
      <c r="C122" s="757"/>
      <c r="D122" s="757"/>
      <c r="E122" s="756"/>
      <c r="F122" s="757"/>
      <c r="G122" s="756"/>
      <c r="H122" s="756"/>
      <c r="I122" s="756"/>
      <c r="J122" s="756"/>
      <c r="K122" s="756"/>
      <c r="L122" s="756"/>
      <c r="M122" s="756"/>
      <c r="N122" s="756"/>
    </row>
    <row r="123" spans="1:14" s="240" customFormat="1" x14ac:dyDescent="0.25">
      <c r="A123" s="756"/>
      <c r="B123" s="756"/>
      <c r="C123" s="757"/>
      <c r="D123" s="757"/>
      <c r="E123" s="756"/>
      <c r="F123" s="757"/>
      <c r="G123" s="756"/>
      <c r="H123" s="756"/>
      <c r="I123" s="756"/>
      <c r="J123" s="756"/>
      <c r="K123" s="756"/>
      <c r="L123" s="756"/>
      <c r="M123" s="756"/>
      <c r="N123" s="756"/>
    </row>
    <row r="124" spans="1:14" s="240" customFormat="1" x14ac:dyDescent="0.25">
      <c r="A124" s="756"/>
      <c r="B124" s="756"/>
      <c r="C124" s="757"/>
      <c r="D124" s="757"/>
      <c r="E124" s="756"/>
      <c r="F124" s="757"/>
      <c r="G124" s="756"/>
      <c r="H124" s="756"/>
      <c r="I124" s="756"/>
      <c r="J124" s="756"/>
      <c r="K124" s="756"/>
      <c r="L124" s="756"/>
      <c r="M124" s="756"/>
      <c r="N124" s="756"/>
    </row>
    <row r="125" spans="1:14" s="240" customFormat="1" x14ac:dyDescent="0.25">
      <c r="A125" s="756"/>
      <c r="B125" s="756"/>
      <c r="C125" s="757"/>
      <c r="D125" s="757"/>
      <c r="E125" s="756"/>
      <c r="F125" s="757"/>
      <c r="G125" s="756"/>
      <c r="H125" s="756"/>
      <c r="I125" s="756"/>
      <c r="J125" s="756"/>
      <c r="K125" s="756"/>
      <c r="L125" s="756"/>
      <c r="M125" s="756"/>
      <c r="N125" s="756"/>
    </row>
    <row r="126" spans="1:14" s="240" customFormat="1" x14ac:dyDescent="0.25">
      <c r="A126" s="756"/>
      <c r="B126" s="756"/>
      <c r="C126" s="757"/>
      <c r="D126" s="757"/>
      <c r="E126" s="756"/>
      <c r="F126" s="757"/>
      <c r="G126" s="756"/>
      <c r="H126" s="756"/>
      <c r="I126" s="756"/>
      <c r="J126" s="756"/>
      <c r="K126" s="756"/>
      <c r="L126" s="756"/>
      <c r="M126" s="756"/>
      <c r="N126" s="756"/>
    </row>
    <row r="127" spans="1:14" s="240" customFormat="1" x14ac:dyDescent="0.25">
      <c r="A127" s="756"/>
      <c r="B127" s="756"/>
      <c r="C127" s="757"/>
      <c r="D127" s="757"/>
      <c r="E127" s="756"/>
      <c r="F127" s="757"/>
      <c r="G127" s="756"/>
      <c r="H127" s="756"/>
      <c r="I127" s="756"/>
      <c r="J127" s="756"/>
      <c r="K127" s="756"/>
      <c r="L127" s="756"/>
      <c r="M127" s="756"/>
      <c r="N127" s="756"/>
    </row>
    <row r="128" spans="1:14" s="240" customFormat="1" x14ac:dyDescent="0.25">
      <c r="A128" s="756"/>
      <c r="B128" s="756"/>
      <c r="C128" s="757"/>
      <c r="D128" s="757"/>
      <c r="E128" s="756"/>
      <c r="F128" s="757"/>
      <c r="G128" s="756"/>
      <c r="H128" s="756"/>
      <c r="I128" s="756"/>
      <c r="J128" s="756"/>
      <c r="K128" s="756"/>
      <c r="L128" s="756"/>
      <c r="M128" s="756"/>
      <c r="N128" s="756"/>
    </row>
    <row r="129" spans="1:14" s="240" customFormat="1" x14ac:dyDescent="0.25">
      <c r="A129" s="756"/>
      <c r="B129" s="756"/>
      <c r="C129" s="757"/>
      <c r="D129" s="757"/>
      <c r="E129" s="756"/>
      <c r="F129" s="757"/>
      <c r="G129" s="756"/>
      <c r="H129" s="756"/>
      <c r="I129" s="756"/>
      <c r="J129" s="756"/>
      <c r="K129" s="756"/>
      <c r="L129" s="756"/>
      <c r="M129" s="756"/>
      <c r="N129" s="756"/>
    </row>
    <row r="130" spans="1:14" s="240" customFormat="1" x14ac:dyDescent="0.25">
      <c r="A130" s="756"/>
      <c r="B130" s="756"/>
      <c r="C130" s="757"/>
      <c r="D130" s="757"/>
      <c r="E130" s="756"/>
      <c r="F130" s="757"/>
      <c r="G130" s="756"/>
      <c r="H130" s="756"/>
      <c r="I130" s="756"/>
      <c r="J130" s="756"/>
      <c r="K130" s="756"/>
      <c r="L130" s="756"/>
      <c r="M130" s="756"/>
      <c r="N130" s="756"/>
    </row>
    <row r="131" spans="1:14" s="240" customFormat="1" x14ac:dyDescent="0.25">
      <c r="A131" s="756"/>
      <c r="B131" s="756"/>
      <c r="C131" s="757"/>
      <c r="D131" s="757"/>
      <c r="E131" s="756"/>
      <c r="F131" s="757"/>
      <c r="G131" s="756"/>
      <c r="H131" s="756"/>
      <c r="I131" s="756"/>
      <c r="J131" s="756"/>
      <c r="K131" s="756"/>
      <c r="L131" s="756"/>
      <c r="M131" s="756"/>
      <c r="N131" s="756"/>
    </row>
    <row r="132" spans="1:14" s="240" customFormat="1" x14ac:dyDescent="0.25">
      <c r="A132" s="756"/>
      <c r="B132" s="756"/>
      <c r="C132" s="757"/>
      <c r="D132" s="757"/>
      <c r="E132" s="756"/>
      <c r="F132" s="757"/>
      <c r="G132" s="756"/>
      <c r="H132" s="756"/>
      <c r="I132" s="756"/>
      <c r="J132" s="756"/>
      <c r="K132" s="756"/>
      <c r="L132" s="756"/>
      <c r="M132" s="756"/>
      <c r="N132" s="756"/>
    </row>
    <row r="133" spans="1:14" s="240" customFormat="1" x14ac:dyDescent="0.25">
      <c r="A133" s="756"/>
      <c r="B133" s="756"/>
      <c r="C133" s="757"/>
      <c r="D133" s="757"/>
      <c r="E133" s="756"/>
      <c r="F133" s="757"/>
      <c r="G133" s="756"/>
      <c r="H133" s="756"/>
      <c r="I133" s="756"/>
      <c r="J133" s="756"/>
      <c r="K133" s="756"/>
      <c r="L133" s="756"/>
      <c r="M133" s="756"/>
      <c r="N133" s="756"/>
    </row>
    <row r="134" spans="1:14" s="240" customFormat="1" x14ac:dyDescent="0.25">
      <c r="A134" s="756"/>
      <c r="B134" s="756"/>
      <c r="C134" s="757"/>
      <c r="D134" s="757"/>
      <c r="E134" s="756"/>
      <c r="F134" s="757"/>
      <c r="G134" s="756"/>
      <c r="H134" s="756"/>
      <c r="I134" s="756"/>
      <c r="J134" s="756"/>
      <c r="K134" s="756"/>
      <c r="L134" s="756"/>
      <c r="M134" s="756"/>
      <c r="N134" s="756"/>
    </row>
    <row r="135" spans="1:14" s="240" customFormat="1" x14ac:dyDescent="0.25">
      <c r="A135" s="756"/>
      <c r="B135" s="756"/>
      <c r="C135" s="757"/>
      <c r="D135" s="757"/>
      <c r="E135" s="756"/>
      <c r="F135" s="757"/>
      <c r="G135" s="756"/>
      <c r="H135" s="756"/>
      <c r="I135" s="756"/>
      <c r="J135" s="756"/>
      <c r="K135" s="756"/>
      <c r="L135" s="756"/>
      <c r="M135" s="756"/>
      <c r="N135" s="756"/>
    </row>
    <row r="136" spans="1:14" s="240" customFormat="1" x14ac:dyDescent="0.25">
      <c r="A136" s="756"/>
      <c r="B136" s="756"/>
      <c r="C136" s="757"/>
      <c r="D136" s="757"/>
      <c r="E136" s="756"/>
      <c r="F136" s="757"/>
      <c r="G136" s="756"/>
      <c r="H136" s="756"/>
      <c r="I136" s="756"/>
      <c r="J136" s="756"/>
      <c r="K136" s="756"/>
      <c r="L136" s="756"/>
      <c r="M136" s="756"/>
      <c r="N136" s="756"/>
    </row>
    <row r="137" spans="1:14" s="240" customFormat="1" x14ac:dyDescent="0.25">
      <c r="A137" s="756"/>
      <c r="B137" s="756"/>
      <c r="C137" s="757"/>
      <c r="D137" s="757"/>
      <c r="E137" s="756"/>
      <c r="F137" s="757"/>
      <c r="G137" s="756"/>
      <c r="H137" s="756"/>
      <c r="I137" s="756"/>
      <c r="J137" s="756"/>
      <c r="K137" s="756"/>
      <c r="L137" s="756"/>
      <c r="M137" s="756"/>
      <c r="N137" s="756"/>
    </row>
    <row r="138" spans="1:14" s="240" customFormat="1" x14ac:dyDescent="0.25">
      <c r="A138" s="756"/>
      <c r="B138" s="756"/>
      <c r="C138" s="757"/>
      <c r="D138" s="757"/>
      <c r="E138" s="756"/>
      <c r="F138" s="757"/>
      <c r="G138" s="756"/>
      <c r="H138" s="756"/>
      <c r="I138" s="756"/>
      <c r="J138" s="756"/>
      <c r="K138" s="756"/>
      <c r="L138" s="756"/>
      <c r="M138" s="756"/>
      <c r="N138" s="756"/>
    </row>
    <row r="139" spans="1:14" s="240" customFormat="1" x14ac:dyDescent="0.25">
      <c r="A139" s="756"/>
      <c r="B139" s="756"/>
      <c r="C139" s="757"/>
      <c r="D139" s="757"/>
      <c r="E139" s="756"/>
      <c r="F139" s="757"/>
      <c r="G139" s="756"/>
      <c r="H139" s="756"/>
      <c r="I139" s="756"/>
      <c r="J139" s="756"/>
      <c r="K139" s="756"/>
      <c r="L139" s="756"/>
      <c r="M139" s="756"/>
      <c r="N139" s="756"/>
    </row>
    <row r="140" spans="1:14" s="240" customFormat="1" x14ac:dyDescent="0.25">
      <c r="A140" s="756"/>
      <c r="B140" s="756"/>
      <c r="C140" s="757"/>
      <c r="D140" s="757"/>
      <c r="E140" s="756"/>
      <c r="F140" s="757"/>
      <c r="G140" s="756"/>
      <c r="H140" s="756"/>
      <c r="I140" s="756"/>
      <c r="J140" s="756"/>
      <c r="K140" s="756"/>
      <c r="L140" s="756"/>
      <c r="M140" s="756"/>
      <c r="N140" s="756"/>
    </row>
    <row r="141" spans="1:14" s="240" customFormat="1" x14ac:dyDescent="0.25">
      <c r="A141" s="756"/>
      <c r="B141" s="756"/>
      <c r="C141" s="757"/>
      <c r="D141" s="757"/>
      <c r="E141" s="756"/>
      <c r="F141" s="757"/>
      <c r="G141" s="756"/>
      <c r="H141" s="756"/>
      <c r="I141" s="756"/>
      <c r="J141" s="756"/>
      <c r="K141" s="756"/>
      <c r="L141" s="756"/>
      <c r="M141" s="756"/>
      <c r="N141" s="756"/>
    </row>
    <row r="142" spans="1:14" s="240" customFormat="1" x14ac:dyDescent="0.25">
      <c r="A142" s="756"/>
      <c r="B142" s="756"/>
      <c r="C142" s="757"/>
      <c r="D142" s="757"/>
      <c r="E142" s="756"/>
      <c r="F142" s="757"/>
      <c r="G142" s="756"/>
      <c r="H142" s="756"/>
      <c r="I142" s="756"/>
      <c r="J142" s="756"/>
      <c r="K142" s="756"/>
      <c r="L142" s="756"/>
      <c r="M142" s="756"/>
      <c r="N142" s="756"/>
    </row>
    <row r="143" spans="1:14" s="240" customFormat="1" x14ac:dyDescent="0.25">
      <c r="A143" s="756"/>
      <c r="B143" s="756"/>
      <c r="C143" s="757"/>
      <c r="D143" s="757"/>
      <c r="E143" s="756"/>
      <c r="F143" s="757"/>
      <c r="G143" s="756"/>
      <c r="H143" s="756"/>
      <c r="I143" s="756"/>
      <c r="J143" s="756"/>
      <c r="K143" s="756"/>
      <c r="L143" s="756"/>
      <c r="M143" s="756"/>
      <c r="N143" s="756"/>
    </row>
    <row r="144" spans="1:14" s="240" customFormat="1" x14ac:dyDescent="0.25">
      <c r="A144" s="756"/>
      <c r="B144" s="756"/>
      <c r="C144" s="757"/>
      <c r="D144" s="757"/>
      <c r="E144" s="756"/>
      <c r="F144" s="757"/>
      <c r="G144" s="756"/>
      <c r="H144" s="756"/>
      <c r="I144" s="756"/>
      <c r="J144" s="756"/>
      <c r="K144" s="756"/>
      <c r="L144" s="756"/>
      <c r="M144" s="756"/>
      <c r="N144" s="756"/>
    </row>
    <row r="145" spans="1:14" s="240" customFormat="1" x14ac:dyDescent="0.25">
      <c r="A145" s="756"/>
      <c r="B145" s="756"/>
      <c r="C145" s="757"/>
      <c r="D145" s="757"/>
      <c r="E145" s="756"/>
      <c r="F145" s="757"/>
      <c r="G145" s="756"/>
      <c r="H145" s="756"/>
      <c r="I145" s="756"/>
      <c r="J145" s="756"/>
      <c r="K145" s="756"/>
      <c r="L145" s="756"/>
      <c r="M145" s="756"/>
      <c r="N145" s="756"/>
    </row>
    <row r="146" spans="1:14" s="240" customFormat="1" x14ac:dyDescent="0.25">
      <c r="A146" s="756"/>
      <c r="B146" s="756"/>
      <c r="C146" s="757"/>
      <c r="D146" s="757"/>
      <c r="E146" s="756"/>
      <c r="F146" s="757"/>
      <c r="G146" s="756"/>
      <c r="H146" s="756"/>
      <c r="I146" s="756"/>
      <c r="J146" s="756"/>
      <c r="K146" s="756"/>
      <c r="L146" s="756"/>
      <c r="M146" s="756"/>
      <c r="N146" s="756"/>
    </row>
    <row r="147" spans="1:14" s="240" customFormat="1" x14ac:dyDescent="0.25">
      <c r="A147" s="756"/>
      <c r="B147" s="756"/>
      <c r="C147" s="757"/>
      <c r="D147" s="757"/>
      <c r="E147" s="756"/>
      <c r="F147" s="757"/>
      <c r="G147" s="756"/>
      <c r="H147" s="756"/>
      <c r="I147" s="756"/>
      <c r="J147" s="756"/>
      <c r="K147" s="756"/>
      <c r="L147" s="756"/>
      <c r="M147" s="756"/>
      <c r="N147" s="756"/>
    </row>
    <row r="148" spans="1:14" s="240" customFormat="1" x14ac:dyDescent="0.25">
      <c r="A148" s="756"/>
      <c r="B148" s="756"/>
      <c r="C148" s="757"/>
      <c r="D148" s="757"/>
      <c r="E148" s="756"/>
      <c r="F148" s="757"/>
      <c r="G148" s="756"/>
      <c r="H148" s="756"/>
      <c r="I148" s="756"/>
      <c r="J148" s="756"/>
      <c r="K148" s="756"/>
      <c r="L148" s="756"/>
      <c r="M148" s="756"/>
      <c r="N148" s="756"/>
    </row>
    <row r="149" spans="1:14" s="240" customFormat="1" x14ac:dyDescent="0.25">
      <c r="A149" s="756"/>
      <c r="B149" s="756"/>
      <c r="C149" s="757"/>
      <c r="D149" s="757"/>
      <c r="E149" s="756"/>
      <c r="F149" s="757"/>
      <c r="G149" s="756"/>
      <c r="H149" s="756"/>
      <c r="I149" s="756"/>
      <c r="J149" s="756"/>
      <c r="K149" s="756"/>
      <c r="L149" s="756"/>
      <c r="M149" s="756"/>
      <c r="N149" s="756"/>
    </row>
    <row r="150" spans="1:14" s="240" customFormat="1" x14ac:dyDescent="0.25">
      <c r="A150" s="756"/>
      <c r="B150" s="756"/>
      <c r="C150" s="757"/>
      <c r="D150" s="757"/>
      <c r="E150" s="756"/>
      <c r="F150" s="757"/>
      <c r="G150" s="756"/>
      <c r="H150" s="756"/>
      <c r="I150" s="756"/>
      <c r="J150" s="756"/>
      <c r="K150" s="756"/>
      <c r="L150" s="756"/>
      <c r="M150" s="756"/>
      <c r="N150" s="756"/>
    </row>
    <row r="151" spans="1:14" s="240" customFormat="1" x14ac:dyDescent="0.25">
      <c r="A151" s="756"/>
      <c r="B151" s="756"/>
      <c r="C151" s="757"/>
      <c r="D151" s="757"/>
      <c r="E151" s="756"/>
      <c r="F151" s="757"/>
      <c r="G151" s="756"/>
      <c r="H151" s="756"/>
      <c r="I151" s="756"/>
      <c r="J151" s="756"/>
      <c r="K151" s="756"/>
      <c r="L151" s="756"/>
      <c r="M151" s="756"/>
      <c r="N151" s="756"/>
    </row>
    <row r="152" spans="1:14" s="240" customFormat="1" x14ac:dyDescent="0.25">
      <c r="A152" s="756"/>
      <c r="B152" s="756"/>
      <c r="C152" s="757"/>
      <c r="D152" s="757"/>
      <c r="E152" s="756"/>
      <c r="F152" s="757"/>
      <c r="G152" s="756"/>
      <c r="H152" s="756"/>
      <c r="I152" s="756"/>
      <c r="J152" s="756"/>
      <c r="K152" s="756"/>
      <c r="L152" s="756"/>
      <c r="M152" s="756"/>
      <c r="N152" s="756"/>
    </row>
    <row r="153" spans="1:14" s="240" customFormat="1" x14ac:dyDescent="0.25">
      <c r="A153" s="756"/>
      <c r="B153" s="756"/>
      <c r="C153" s="757"/>
      <c r="D153" s="757"/>
      <c r="E153" s="756"/>
      <c r="F153" s="757"/>
      <c r="G153" s="756"/>
      <c r="H153" s="756"/>
      <c r="I153" s="756"/>
      <c r="J153" s="756"/>
      <c r="K153" s="756"/>
      <c r="L153" s="756"/>
      <c r="M153" s="756"/>
      <c r="N153" s="756"/>
    </row>
    <row r="154" spans="1:14" s="240" customFormat="1" x14ac:dyDescent="0.25">
      <c r="A154" s="756"/>
      <c r="B154" s="756"/>
      <c r="C154" s="757"/>
      <c r="D154" s="757"/>
      <c r="E154" s="756"/>
      <c r="F154" s="757"/>
      <c r="G154" s="756"/>
      <c r="H154" s="756"/>
      <c r="I154" s="756"/>
      <c r="J154" s="756"/>
      <c r="K154" s="756"/>
      <c r="L154" s="756"/>
      <c r="M154" s="756"/>
      <c r="N154" s="756"/>
    </row>
    <row r="155" spans="1:14" s="240" customFormat="1" x14ac:dyDescent="0.25">
      <c r="A155" s="756"/>
      <c r="B155" s="756"/>
      <c r="C155" s="757"/>
      <c r="D155" s="757"/>
      <c r="E155" s="756"/>
      <c r="F155" s="757"/>
      <c r="G155" s="756"/>
      <c r="H155" s="756"/>
      <c r="I155" s="756"/>
      <c r="J155" s="756"/>
      <c r="K155" s="756"/>
      <c r="L155" s="756"/>
      <c r="M155" s="756"/>
      <c r="N155" s="756"/>
    </row>
    <row r="156" spans="1:14" s="240" customFormat="1" x14ac:dyDescent="0.25">
      <c r="A156" s="756"/>
      <c r="B156" s="756"/>
      <c r="C156" s="757"/>
      <c r="D156" s="757"/>
      <c r="E156" s="756"/>
      <c r="F156" s="757"/>
      <c r="G156" s="756"/>
      <c r="H156" s="756"/>
      <c r="I156" s="756"/>
      <c r="J156" s="756"/>
      <c r="K156" s="756"/>
      <c r="L156" s="756"/>
      <c r="M156" s="756"/>
      <c r="N156" s="756"/>
    </row>
    <row r="157" spans="1:14" s="240" customFormat="1" x14ac:dyDescent="0.25">
      <c r="A157" s="756"/>
      <c r="B157" s="756"/>
      <c r="C157" s="757"/>
      <c r="D157" s="757"/>
      <c r="E157" s="756"/>
      <c r="F157" s="757"/>
      <c r="G157" s="756"/>
      <c r="H157" s="756"/>
      <c r="I157" s="756"/>
      <c r="J157" s="756"/>
      <c r="K157" s="756"/>
      <c r="L157" s="756"/>
      <c r="M157" s="756"/>
      <c r="N157" s="756"/>
    </row>
    <row r="158" spans="1:14" s="240" customFormat="1" x14ac:dyDescent="0.25">
      <c r="A158" s="756"/>
      <c r="B158" s="756"/>
      <c r="C158" s="757"/>
      <c r="D158" s="757"/>
      <c r="E158" s="756"/>
      <c r="F158" s="757"/>
      <c r="G158" s="756"/>
      <c r="H158" s="756"/>
      <c r="I158" s="756"/>
      <c r="J158" s="756"/>
      <c r="K158" s="756"/>
      <c r="L158" s="756"/>
      <c r="M158" s="756"/>
      <c r="N158" s="756"/>
    </row>
    <row r="159" spans="1:14" s="240" customFormat="1" x14ac:dyDescent="0.25">
      <c r="A159" s="756"/>
      <c r="B159" s="756"/>
      <c r="C159" s="757"/>
      <c r="D159" s="757"/>
      <c r="E159" s="756"/>
      <c r="F159" s="757"/>
      <c r="G159" s="756"/>
      <c r="H159" s="756"/>
      <c r="I159" s="756"/>
      <c r="J159" s="756"/>
      <c r="K159" s="756"/>
      <c r="L159" s="756"/>
      <c r="M159" s="756"/>
      <c r="N159" s="756"/>
    </row>
    <row r="160" spans="1:14" s="240" customFormat="1" x14ac:dyDescent="0.25">
      <c r="A160" s="756"/>
      <c r="B160" s="756"/>
      <c r="C160" s="757"/>
      <c r="D160" s="757"/>
      <c r="E160" s="756"/>
      <c r="F160" s="757"/>
      <c r="G160" s="756"/>
      <c r="H160" s="756"/>
      <c r="I160" s="756"/>
      <c r="J160" s="756"/>
      <c r="K160" s="756"/>
      <c r="L160" s="756"/>
      <c r="M160" s="756"/>
      <c r="N160" s="756"/>
    </row>
    <row r="161" spans="1:14" s="240" customFormat="1" x14ac:dyDescent="0.25">
      <c r="A161" s="756"/>
      <c r="B161" s="756"/>
      <c r="C161" s="757"/>
      <c r="D161" s="757"/>
      <c r="E161" s="756"/>
      <c r="F161" s="757"/>
      <c r="G161" s="756"/>
      <c r="H161" s="756"/>
      <c r="I161" s="756"/>
      <c r="J161" s="756"/>
      <c r="K161" s="756"/>
      <c r="L161" s="756"/>
      <c r="M161" s="756"/>
      <c r="N161" s="756"/>
    </row>
    <row r="162" spans="1:14" s="240" customFormat="1" x14ac:dyDescent="0.25">
      <c r="A162" s="756"/>
      <c r="B162" s="756"/>
      <c r="C162" s="757"/>
      <c r="D162" s="757"/>
      <c r="E162" s="756"/>
      <c r="F162" s="757"/>
      <c r="G162" s="756"/>
      <c r="H162" s="756"/>
      <c r="I162" s="756"/>
      <c r="J162" s="756"/>
      <c r="K162" s="756"/>
      <c r="L162" s="756"/>
      <c r="M162" s="756"/>
      <c r="N162" s="756"/>
    </row>
    <row r="163" spans="1:14" s="240" customFormat="1" x14ac:dyDescent="0.25">
      <c r="A163" s="756"/>
      <c r="B163" s="756"/>
      <c r="C163" s="757"/>
      <c r="D163" s="757"/>
      <c r="E163" s="756"/>
      <c r="F163" s="757"/>
      <c r="G163" s="756"/>
      <c r="H163" s="756"/>
      <c r="I163" s="756"/>
      <c r="J163" s="756"/>
      <c r="K163" s="756"/>
      <c r="L163" s="756"/>
      <c r="M163" s="756"/>
      <c r="N163" s="756"/>
    </row>
    <row r="164" spans="1:14" s="240" customFormat="1" x14ac:dyDescent="0.25">
      <c r="A164" s="756"/>
      <c r="B164" s="756"/>
      <c r="C164" s="757"/>
      <c r="D164" s="757"/>
      <c r="E164" s="756"/>
      <c r="F164" s="757"/>
      <c r="G164" s="756"/>
      <c r="H164" s="756"/>
      <c r="I164" s="756"/>
      <c r="J164" s="756"/>
      <c r="K164" s="756"/>
      <c r="L164" s="756"/>
      <c r="M164" s="756"/>
      <c r="N164" s="756"/>
    </row>
    <row r="165" spans="1:14" s="240" customFormat="1" x14ac:dyDescent="0.25">
      <c r="A165" s="756"/>
      <c r="B165" s="756"/>
      <c r="C165" s="757"/>
      <c r="D165" s="757"/>
      <c r="E165" s="756"/>
      <c r="F165" s="757"/>
      <c r="G165" s="756"/>
      <c r="H165" s="756"/>
      <c r="I165" s="756"/>
      <c r="J165" s="756"/>
      <c r="K165" s="756"/>
      <c r="L165" s="756"/>
      <c r="M165" s="756"/>
      <c r="N165" s="756"/>
    </row>
    <row r="166" spans="1:14" s="240" customFormat="1" x14ac:dyDescent="0.25">
      <c r="A166" s="756"/>
      <c r="B166" s="756"/>
      <c r="C166" s="757"/>
      <c r="D166" s="757"/>
      <c r="E166" s="756"/>
      <c r="F166" s="757"/>
      <c r="G166" s="756"/>
      <c r="H166" s="756"/>
      <c r="I166" s="756"/>
      <c r="J166" s="756"/>
      <c r="K166" s="756"/>
      <c r="L166" s="756"/>
      <c r="M166" s="756"/>
      <c r="N166" s="756"/>
    </row>
    <row r="167" spans="1:14" s="240" customFormat="1" x14ac:dyDescent="0.25">
      <c r="A167" s="756"/>
      <c r="B167" s="756"/>
      <c r="C167" s="757"/>
      <c r="D167" s="757"/>
      <c r="E167" s="756"/>
      <c r="F167" s="757"/>
      <c r="G167" s="756"/>
      <c r="H167" s="756"/>
      <c r="I167" s="756"/>
      <c r="J167" s="756"/>
      <c r="K167" s="756"/>
      <c r="L167" s="756"/>
      <c r="M167" s="756"/>
      <c r="N167" s="756"/>
    </row>
    <row r="168" spans="1:14" s="240" customFormat="1" x14ac:dyDescent="0.25">
      <c r="A168" s="756"/>
      <c r="B168" s="756"/>
      <c r="C168" s="757"/>
      <c r="D168" s="757"/>
      <c r="E168" s="756"/>
      <c r="F168" s="757"/>
      <c r="G168" s="756"/>
      <c r="H168" s="756"/>
      <c r="I168" s="756"/>
      <c r="J168" s="756"/>
      <c r="K168" s="756"/>
      <c r="L168" s="756"/>
      <c r="M168" s="756"/>
      <c r="N168" s="756"/>
    </row>
    <row r="169" spans="1:14" s="240" customFormat="1" x14ac:dyDescent="0.25">
      <c r="A169" s="756"/>
      <c r="B169" s="756"/>
      <c r="C169" s="757"/>
      <c r="D169" s="757"/>
      <c r="E169" s="756"/>
      <c r="F169" s="757"/>
      <c r="G169" s="756"/>
      <c r="H169" s="756"/>
      <c r="I169" s="756"/>
      <c r="J169" s="756"/>
      <c r="K169" s="756"/>
      <c r="L169" s="756"/>
      <c r="M169" s="756"/>
      <c r="N169" s="756"/>
    </row>
    <row r="170" spans="1:14" s="240" customFormat="1" x14ac:dyDescent="0.25">
      <c r="A170" s="756"/>
      <c r="B170" s="756"/>
      <c r="C170" s="757"/>
      <c r="D170" s="757"/>
      <c r="E170" s="756"/>
      <c r="F170" s="757"/>
      <c r="G170" s="756"/>
      <c r="H170" s="756"/>
      <c r="I170" s="756"/>
      <c r="J170" s="756"/>
      <c r="K170" s="756"/>
      <c r="L170" s="756"/>
      <c r="M170" s="756"/>
      <c r="N170" s="756"/>
    </row>
    <row r="171" spans="1:14" s="240" customFormat="1" x14ac:dyDescent="0.25">
      <c r="A171" s="756"/>
      <c r="B171" s="756"/>
      <c r="C171" s="757"/>
      <c r="D171" s="757"/>
      <c r="E171" s="756"/>
      <c r="F171" s="757"/>
      <c r="G171" s="756"/>
      <c r="H171" s="756"/>
      <c r="I171" s="756"/>
      <c r="J171" s="756"/>
      <c r="K171" s="756"/>
      <c r="L171" s="756"/>
      <c r="M171" s="756"/>
      <c r="N171" s="756"/>
    </row>
  </sheetData>
  <sheetProtection algorithmName="SHA-512" hashValue="ECHoBfhRojLnsjQpUJ1qiAc+2HUVOVS+BpmnLaU87ExE3IMAXdbvKjgnvoKH1U/3TybfscucBzplNy5m9dAtUg==" saltValue="NEp4teWezLq8Wm/67HvRlA==" spinCount="100000" sheet="1" objects="1" scenarios="1"/>
  <mergeCells count="23">
    <mergeCell ref="G41:G42"/>
    <mergeCell ref="A15:A28"/>
    <mergeCell ref="B15:B16"/>
    <mergeCell ref="C15:G16"/>
    <mergeCell ref="B18:B36"/>
    <mergeCell ref="C18:C36"/>
    <mergeCell ref="D18:D36"/>
    <mergeCell ref="E18:E36"/>
    <mergeCell ref="F18:F36"/>
    <mergeCell ref="L3:L4"/>
    <mergeCell ref="A6:A10"/>
    <mergeCell ref="B6:B12"/>
    <mergeCell ref="C6:C12"/>
    <mergeCell ref="E6:E12"/>
    <mergeCell ref="F6:F12"/>
    <mergeCell ref="B3:B4"/>
    <mergeCell ref="C3:C4"/>
    <mergeCell ref="D3:D4"/>
    <mergeCell ref="H3:H4"/>
    <mergeCell ref="I3:I4"/>
    <mergeCell ref="J3:J4"/>
    <mergeCell ref="D6:D12"/>
    <mergeCell ref="K3:K4"/>
  </mergeCells>
  <printOptions horizontalCentered="1" verticalCentered="1"/>
  <pageMargins left="0" right="0" top="0.39370078740157483" bottom="0.39370078740157483" header="0.11811023622047245" footer="0.51181102362204722"/>
  <pageSetup paperSize="9" scale="66" orientation="landscape" r:id="rId1"/>
  <headerFooter alignWithMargins="0">
    <oddHeader xml:space="preserve">&amp;LNassington Parish Council Northamptonshire NO164&amp;C&amp;"Arial,Bold"QUANTIFIED VARIABLE DIFFERENCES&amp;RAccounts for Audit
y/e 31 March 2021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Summary</vt:lpstr>
      <vt:lpstr>Budget Analysis</vt:lpstr>
      <vt:lpstr>Receipts</vt:lpstr>
      <vt:lpstr>Payments</vt:lpstr>
      <vt:lpstr>Balances</vt:lpstr>
      <vt:lpstr>Audit Bank rec</vt:lpstr>
      <vt:lpstr>PockIt-Petty Cash </vt:lpstr>
      <vt:lpstr>Audit reconciliation</vt:lpstr>
      <vt:lpstr>Variances </vt:lpstr>
      <vt:lpstr>Asset Register</vt:lpstr>
      <vt:lpstr>VAT</vt:lpstr>
      <vt:lpstr>'Asset Register'!Print_Area</vt:lpstr>
      <vt:lpstr>'Audit Bank rec'!Print_Area</vt:lpstr>
      <vt:lpstr>'Audit reconciliation'!Print_Area</vt:lpstr>
      <vt:lpstr>Balances!Print_Area</vt:lpstr>
      <vt:lpstr>'Budget Analysis'!Print_Area</vt:lpstr>
      <vt:lpstr>Payments!Print_Area</vt:lpstr>
      <vt:lpstr>'PockIt-Petty Cash '!Print_Area</vt:lpstr>
      <vt:lpstr>Receipts!Print_Area</vt:lpstr>
      <vt:lpstr>Summary!Print_Area</vt:lpstr>
      <vt:lpstr>'Variances '!Print_Area</vt:lpstr>
      <vt:lpstr>VAT!Print_Area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Rodger</dc:creator>
  <cp:lastModifiedBy>Sarah Rodger</cp:lastModifiedBy>
  <cp:lastPrinted>2022-04-07T12:58:57Z</cp:lastPrinted>
  <dcterms:created xsi:type="dcterms:W3CDTF">2000-08-20T11:12:38Z</dcterms:created>
  <dcterms:modified xsi:type="dcterms:W3CDTF">2022-05-23T14:02:06Z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-2139136541</vt:i4>
  </property>
  <property fmtid="{D5CDD505-2E9C-101B-9397-08002B2CF9AE}" pid="3" name="_EmailSubject">
    <vt:lpwstr>07 Nass accs 07_08</vt:lpwstr>
  </property>
  <property fmtid="{D5CDD505-2E9C-101B-9397-08002B2CF9AE}" pid="4" name="_AuthorEmail">
    <vt:lpwstr>sarah@therodgers.plus.com</vt:lpwstr>
  </property>
  <property fmtid="{D5CDD505-2E9C-101B-9397-08002B2CF9AE}" pid="5" name="_AuthorEmailDisplayName">
    <vt:lpwstr>Sarah Rodger</vt:lpwstr>
  </property>
  <property fmtid="{D5CDD505-2E9C-101B-9397-08002B2CF9AE}" pid="6" name="_PreviousAdHocReviewCycleID">
    <vt:i4>970015702</vt:i4>
  </property>
  <property fmtid="{D5CDD505-2E9C-101B-9397-08002B2CF9AE}" pid="7" name="_ReviewingToolsShownOnce">
    <vt:lpwstr/>
  </property>
  <property fmtid="{D5CDD505-2E9C-101B-9397-08002B2CF9AE}" pid="8" name="AddDocumentEventProcessedFirstTime">
    <vt:lpwstr>True</vt:lpwstr>
  </property>
  <property fmtid="{D5CDD505-2E9C-101B-9397-08002B2CF9AE}" pid="9" name="AddDocumentEventProcessedFileUniqueId">
    <vt:lpwstr>202943c6-9444-4823-a0ba-649e330bac14</vt:lpwstr>
  </property>
  <property fmtid="{D5CDD505-2E9C-101B-9397-08002B2CF9AE}" pid="10" name="LastObjectUpdateEventProcessedVersion">
    <vt:lpwstr>2.0</vt:lpwstr>
  </property>
</Properties>
</file>